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9"/>
  </bookViews>
  <sheets>
    <sheet name="Sheet3" sheetId="1" state="visible" r:id="rId2"/>
    <sheet name="T4.3-1" sheetId="2" state="visible" r:id="rId3"/>
    <sheet name="T4.3-2a" sheetId="3" state="visible" r:id="rId4"/>
    <sheet name="4.3-2b" sheetId="4" state="visible" r:id="rId5"/>
    <sheet name="T4.3-3" sheetId="5" state="visible" r:id="rId6"/>
    <sheet name="T4.3-4" sheetId="6" state="visible" r:id="rId7"/>
    <sheet name="T4.3-5" sheetId="7" state="visible" r:id="rId8"/>
    <sheet name="T4.3.6" sheetId="8" state="visible" r:id="rId9"/>
    <sheet name="T4.3-7" sheetId="9" state="visible" r:id="rId10"/>
    <sheet name="T4.3-9" sheetId="10" state="visible" r:id="rId11"/>
    <sheet name="T4.3-10" sheetId="11" state="visible" r:id="rId12"/>
    <sheet name="T4.3-11" sheetId="12" state="visible" r:id="rId13"/>
    <sheet name="T4.3-12" sheetId="13" state="visible" r:id="rId14"/>
    <sheet name="T4.3-18" sheetId="14" state="visible" r:id="rId15"/>
    <sheet name="T4.3-19" sheetId="15" state="visible" r:id="rId16"/>
    <sheet name="T4.3-20" sheetId="16" state="visible" r:id="rId17"/>
    <sheet name="T4.3-21" sheetId="17" state="visible" r:id="rId18"/>
    <sheet name="T4.3-22" sheetId="18" state="visible" r:id="rId19"/>
    <sheet name="T4.3-23" sheetId="19" state="visible" r:id="rId20"/>
    <sheet name="T4.3-24" sheetId="20" state="visible" r:id="rId21"/>
    <sheet name="T4.4-1" sheetId="21" state="visible" r:id="rId22"/>
    <sheet name="T4.4-2" sheetId="22" state="visible" r:id="rId23"/>
    <sheet name="T4.4-3" sheetId="23" state="visible" r:id="rId24"/>
    <sheet name="T4.4-4" sheetId="24" state="visible" r:id="rId25"/>
    <sheet name="T4.5-8" sheetId="25" state="visible" r:id="rId26"/>
    <sheet name="T4.5-1" sheetId="26" state="visible" r:id="rId27"/>
    <sheet name="T4.5-3" sheetId="27" state="visible" r:id="rId28"/>
    <sheet name="T4.5.4" sheetId="28" state="visible" r:id="rId29"/>
    <sheet name="T4.5-5" sheetId="29" state="visible" r:id="rId30"/>
    <sheet name="1" sheetId="30" state="visible" r:id="rId31"/>
  </sheets>
  <externalReferences>
    <externalReference r:id="rId32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<sst xmlns="http://schemas.openxmlformats.org/spreadsheetml/2006/main" count="2657" uniqueCount="515">
  <si>
    <t xml:space="preserve">Table 4.1‑3  Legal PAFs by LGUs</t>
  </si>
  <si>
    <t xml:space="preserve">H</t>
  </si>
  <si>
    <t xml:space="preserve">Municipalities and Cities</t>
  </si>
  <si>
    <t xml:space="preserve">Affected Brgys</t>
  </si>
  <si>
    <t xml:space="preserve">Structure owners (Residential)</t>
  </si>
  <si>
    <t xml:space="preserve">Structure owners (Mixed Use)</t>
  </si>
  <si>
    <t xml:space="preserve">Structure owners (CIBEs)</t>
  </si>
  <si>
    <t xml:space="preserve">Structure owners (Institutional)</t>
  </si>
  <si>
    <t xml:space="preserve">Renters</t>
  </si>
  <si>
    <t xml:space="preserve">Absentee Structure Owner</t>
  </si>
  <si>
    <t xml:space="preserve">Land</t>
  </si>
  <si>
    <t xml:space="preserve">Commercial Stall Tenants</t>
  </si>
  <si>
    <t xml:space="preserve">TOTAL</t>
  </si>
  <si>
    <t xml:space="preserve">(Residential)</t>
  </si>
  <si>
    <t xml:space="preserve">Owners*3</t>
  </si>
  <si>
    <t xml:space="preserve">Stay¹</t>
  </si>
  <si>
    <t xml:space="preserve">Move²</t>
  </si>
  <si>
    <t xml:space="preserve">MALOLOS</t>
  </si>
  <si>
    <t xml:space="preserve">Tikay</t>
  </si>
  <si>
    <t xml:space="preserve">Bulihan</t>
  </si>
  <si>
    <t xml:space="preserve">San Pablo</t>
  </si>
  <si>
    <t xml:space="preserve">Catmon</t>
  </si>
  <si>
    <t xml:space="preserve">Subtotal</t>
  </si>
  <si>
    <t xml:space="preserve">GUIGUINTO</t>
  </si>
  <si>
    <t xml:space="preserve">Poblacion</t>
  </si>
  <si>
    <t xml:space="preserve">Tuktukan</t>
  </si>
  <si>
    <t xml:space="preserve">Sta. Cruz</t>
  </si>
  <si>
    <t xml:space="preserve">Tabang</t>
  </si>
  <si>
    <t xml:space="preserve">BALAGTAS</t>
  </si>
  <si>
    <t xml:space="preserve">Burol 1st</t>
  </si>
  <si>
    <t xml:space="preserve">BOCAUE</t>
  </si>
  <si>
    <t xml:space="preserve">Taal</t>
  </si>
  <si>
    <t xml:space="preserve">Igulot</t>
  </si>
  <si>
    <t xml:space="preserve">Bundukan</t>
  </si>
  <si>
    <t xml:space="preserve">MARILAO</t>
  </si>
  <si>
    <t xml:space="preserve">Abangan Norte</t>
  </si>
  <si>
    <t xml:space="preserve">Saog</t>
  </si>
  <si>
    <t xml:space="preserve">Ibayo</t>
  </si>
  <si>
    <t xml:space="preserve">MEYCAUAYAN</t>
  </si>
  <si>
    <t xml:space="preserve">Pandayan</t>
  </si>
  <si>
    <t xml:space="preserve">Tugatog</t>
  </si>
  <si>
    <t xml:space="preserve">Bancal</t>
  </si>
  <si>
    <t xml:space="preserve">Malhacan</t>
  </si>
  <si>
    <t xml:space="preserve">VALENZUELA</t>
  </si>
  <si>
    <t xml:space="preserve">Malanday</t>
  </si>
  <si>
    <t xml:space="preserve">Dalandanan</t>
  </si>
  <si>
    <t xml:space="preserve">Malinta</t>
  </si>
  <si>
    <t xml:space="preserve">CALOOCAN</t>
  </si>
  <si>
    <t xml:space="preserve">Barangay 9</t>
  </si>
  <si>
    <t xml:space="preserve">Barangay 15</t>
  </si>
  <si>
    <t xml:space="preserve">Barangay 17</t>
  </si>
  <si>
    <t xml:space="preserve">Barangay 19</t>
  </si>
  <si>
    <t xml:space="preserve">Barangay 21</t>
  </si>
  <si>
    <t xml:space="preserve">Barangay 25</t>
  </si>
  <si>
    <t xml:space="preserve">Barangay 29</t>
  </si>
  <si>
    <t xml:space="preserve">Barangay 32</t>
  </si>
  <si>
    <t xml:space="preserve">Barangay 33</t>
  </si>
  <si>
    <t xml:space="preserve">MANILA</t>
  </si>
  <si>
    <t xml:space="preserve">Barangay 184</t>
  </si>
  <si>
    <t xml:space="preserve">Barangay 186</t>
  </si>
  <si>
    <t xml:space="preserve">Barangay 185</t>
  </si>
  <si>
    <t xml:space="preserve">Barangay 204</t>
  </si>
  <si>
    <t xml:space="preserve">Barangay 165</t>
  </si>
  <si>
    <t xml:space="preserve">Barangay 164</t>
  </si>
  <si>
    <t xml:space="preserve">Barangay 152</t>
  </si>
  <si>
    <t xml:space="preserve">Barangay 155</t>
  </si>
  <si>
    <t xml:space="preserve">Barangay 159</t>
  </si>
  <si>
    <t xml:space="preserve">Barangay 156</t>
  </si>
  <si>
    <t xml:space="preserve">Barangay 53</t>
  </si>
  <si>
    <t xml:space="preserve">Barangay 50</t>
  </si>
  <si>
    <t xml:space="preserve">Barangay 51</t>
  </si>
  <si>
    <t xml:space="preserve">Barangay 48</t>
  </si>
  <si>
    <t xml:space="preserve">Barangay 199</t>
  </si>
  <si>
    <t xml:space="preserve">Barangay 200</t>
  </si>
  <si>
    <t xml:space="preserve">GRAND TOTAL</t>
  </si>
  <si>
    <t xml:space="preserve">Table 4.4‑1  Gender of Household Heads </t>
  </si>
  <si>
    <t xml:space="preserve">W</t>
  </si>
  <si>
    <t xml:space="preserve">BARANGAY</t>
  </si>
  <si>
    <t xml:space="preserve">Male</t>
  </si>
  <si>
    <t xml:space="preserve">Female</t>
  </si>
  <si>
    <t xml:space="preserve">Total</t>
  </si>
  <si>
    <t xml:space="preserve">Malolos</t>
  </si>
  <si>
    <t xml:space="preserve">Guiguinto</t>
  </si>
  <si>
    <t xml:space="preserve">Balagtas</t>
  </si>
  <si>
    <t xml:space="preserve">Bocaue</t>
  </si>
  <si>
    <t xml:space="preserve">Marilao</t>
  </si>
  <si>
    <t xml:space="preserve">Meycauayan</t>
  </si>
  <si>
    <t xml:space="preserve">Valenzuela</t>
  </si>
  <si>
    <t xml:space="preserve">Malanday (depot)</t>
  </si>
  <si>
    <t xml:space="preserve">Veinte Reales (depot)</t>
  </si>
  <si>
    <t xml:space="preserve">Caloocan</t>
  </si>
  <si>
    <t xml:space="preserve">Brgy.09</t>
  </si>
  <si>
    <t xml:space="preserve">Brgy.15</t>
  </si>
  <si>
    <t xml:space="preserve">Brgy.17</t>
  </si>
  <si>
    <t xml:space="preserve">Brgy.19</t>
  </si>
  <si>
    <t xml:space="preserve">Brgy.21</t>
  </si>
  <si>
    <t xml:space="preserve">Brgy.25</t>
  </si>
  <si>
    <t xml:space="preserve">Brgy.29</t>
  </si>
  <si>
    <t xml:space="preserve">Brgy.32</t>
  </si>
  <si>
    <t xml:space="preserve">Brgy.33</t>
  </si>
  <si>
    <t xml:space="preserve">Manila</t>
  </si>
  <si>
    <t xml:space="preserve">Brgy.184</t>
  </si>
  <si>
    <t xml:space="preserve">Brgy.186</t>
  </si>
  <si>
    <t xml:space="preserve">Brgy.185</t>
  </si>
  <si>
    <t xml:space="preserve">Brgy.204</t>
  </si>
  <si>
    <t xml:space="preserve">Brgy.165</t>
  </si>
  <si>
    <t xml:space="preserve">Brgy.164</t>
  </si>
  <si>
    <t xml:space="preserve">Brgy.152</t>
  </si>
  <si>
    <t xml:space="preserve">Brgy.155</t>
  </si>
  <si>
    <t xml:space="preserve">Brgy.159</t>
  </si>
  <si>
    <t xml:space="preserve">Brgy.156</t>
  </si>
  <si>
    <t xml:space="preserve">Brgy.53</t>
  </si>
  <si>
    <t xml:space="preserve">Brgy.50</t>
  </si>
  <si>
    <t xml:space="preserve">Brgy.51</t>
  </si>
  <si>
    <t xml:space="preserve">Brgy.48</t>
  </si>
  <si>
    <t xml:space="preserve">Brgy.199</t>
  </si>
  <si>
    <t xml:space="preserve">Brgy.200</t>
  </si>
  <si>
    <t xml:space="preserve">Percentage</t>
  </si>
  <si>
    <t xml:space="preserve">Source:  DMS and SES Survey, 2016-2017</t>
  </si>
  <si>
    <t xml:space="preserve">Table 4.3‑2  Size of Household </t>
  </si>
  <si>
    <t xml:space="preserve">NK</t>
  </si>
  <si>
    <t xml:space="preserve">Barangay</t>
  </si>
  <si>
    <t xml:space="preserve">Range of household number</t>
  </si>
  <si>
    <t xml:space="preserve"> 0-3</t>
  </si>
  <si>
    <t xml:space="preserve">4-6</t>
  </si>
  <si>
    <t xml:space="preserve">7-9</t>
  </si>
  <si>
    <t xml:space="preserve">&gt;9</t>
  </si>
  <si>
    <t xml:space="preserve">No Answer</t>
  </si>
  <si>
    <t xml:space="preserve">Table 4.3‑2b Structure  of Household</t>
  </si>
  <si>
    <t xml:space="preserve">Z</t>
  </si>
  <si>
    <t xml:space="preserve">Single-headed household</t>
  </si>
  <si>
    <t xml:space="preserve">Widowed-head</t>
  </si>
  <si>
    <t xml:space="preserve">Separated-head</t>
  </si>
  <si>
    <t xml:space="preserve">Others</t>
  </si>
  <si>
    <t xml:space="preserve">Total </t>
  </si>
  <si>
    <t xml:space="preserve">Frequency</t>
  </si>
  <si>
    <t xml:space="preserve">% </t>
  </si>
  <si>
    <t xml:space="preserve">Table 4.3‑3  Affected Population by Age </t>
  </si>
  <si>
    <t xml:space="preserve">NY+NZ</t>
  </si>
  <si>
    <t xml:space="preserve">OA+OB</t>
  </si>
  <si>
    <t xml:space="preserve">OC+OD</t>
  </si>
  <si>
    <t xml:space="preserve">OE+OF</t>
  </si>
  <si>
    <t xml:space="preserve">OG+OH</t>
  </si>
  <si>
    <t xml:space="preserve">OI+OJ</t>
  </si>
  <si>
    <t xml:space="preserve">0-5</t>
  </si>
  <si>
    <t xml:space="preserve">6 - 14</t>
  </si>
  <si>
    <t xml:space="preserve">15 - 30</t>
  </si>
  <si>
    <t xml:space="preserve">31-59</t>
  </si>
  <si>
    <t xml:space="preserve">60 above</t>
  </si>
  <si>
    <t xml:space="preserve">Table 4.3‑4  Educational Attainment of Household Members per Barangay</t>
  </si>
  <si>
    <t xml:space="preserve">OQ+OR</t>
  </si>
  <si>
    <t xml:space="preserve">OS+OT</t>
  </si>
  <si>
    <t xml:space="preserve">OU+OV</t>
  </si>
  <si>
    <t xml:space="preserve">OW+OX</t>
  </si>
  <si>
    <t xml:space="preserve">OY+OZ</t>
  </si>
  <si>
    <t xml:space="preserve">PA+PB</t>
  </si>
  <si>
    <t xml:space="preserve">PC+PD</t>
  </si>
  <si>
    <t xml:space="preserve">PE+PF</t>
  </si>
  <si>
    <t xml:space="preserve">PG+PH</t>
  </si>
  <si>
    <t xml:space="preserve">PI+PJ</t>
  </si>
  <si>
    <t xml:space="preserve">PK+PL</t>
  </si>
  <si>
    <t xml:space="preserve">PM+PN</t>
  </si>
  <si>
    <t xml:space="preserve">No</t>
  </si>
  <si>
    <t xml:space="preserve">Pre-</t>
  </si>
  <si>
    <t xml:space="preserve">Elementary</t>
  </si>
  <si>
    <t xml:space="preserve">High School</t>
  </si>
  <si>
    <t xml:space="preserve">College</t>
  </si>
  <si>
    <t xml:space="preserve">Vocational</t>
  </si>
  <si>
    <t xml:space="preserve">Not in</t>
  </si>
  <si>
    <t xml:space="preserve">Schooling</t>
  </si>
  <si>
    <t xml:space="preserve">Level</t>
  </si>
  <si>
    <t xml:space="preserve">Graduate</t>
  </si>
  <si>
    <t xml:space="preserve">School Age</t>
  </si>
  <si>
    <t xml:space="preserve">Answer</t>
  </si>
  <si>
    <t xml:space="preserve">Table 4.3‑5  Length of Stay in Present Place per Barangay</t>
  </si>
  <si>
    <t xml:space="preserve">F</t>
  </si>
  <si>
    <t xml:space="preserve">Less than</t>
  </si>
  <si>
    <t xml:space="preserve">&gt;1 to</t>
  </si>
  <si>
    <t xml:space="preserve">&gt;3 to</t>
  </si>
  <si>
    <t xml:space="preserve">&gt;6 to</t>
  </si>
  <si>
    <t xml:space="preserve">&gt;10 to</t>
  </si>
  <si>
    <t xml:space="preserve">More than</t>
  </si>
  <si>
    <t xml:space="preserve">1 year</t>
  </si>
  <si>
    <t xml:space="preserve">&lt;3 years</t>
  </si>
  <si>
    <t xml:space="preserve">&lt;6 years</t>
  </si>
  <si>
    <t xml:space="preserve">&lt;10 years</t>
  </si>
  <si>
    <t xml:space="preserve">&lt;15 years</t>
  </si>
  <si>
    <t xml:space="preserve">15 years</t>
  </si>
  <si>
    <t xml:space="preserve">Table 4.3‑6  Reason for Establishing Residence in Present Place</t>
  </si>
  <si>
    <t xml:space="preserve">AG</t>
  </si>
  <si>
    <t xml:space="preserve">AH</t>
  </si>
  <si>
    <t xml:space="preserve">AI</t>
  </si>
  <si>
    <t xml:space="preserve">Economic Reasons</t>
  </si>
  <si>
    <t xml:space="preserve">Social Reasons</t>
  </si>
  <si>
    <t xml:space="preserve">Other Reasons </t>
  </si>
  <si>
    <t xml:space="preserve">   Proximity to Livelihood/Employment</t>
  </si>
  <si>
    <t xml:space="preserve">   Rent Free</t>
  </si>
  <si>
    <t xml:space="preserve">   Affordable Rent</t>
  </si>
  <si>
    <t xml:space="preserve">   Family Ties</t>
  </si>
  <si>
    <t xml:space="preserve">   Got Married</t>
  </si>
  <si>
    <t xml:space="preserve">   Near School</t>
  </si>
  <si>
    <t xml:space="preserve">   Acquired Rights</t>
  </si>
  <si>
    <t xml:space="preserve">   Inherited</t>
  </si>
  <si>
    <t xml:space="preserve">   Nowhere to Go</t>
  </si>
  <si>
    <t xml:space="preserve">   Work Related</t>
  </si>
  <si>
    <t xml:space="preserve">Table 4.3‑7  Employment Status and Source of Income of Earning Houseohold Members per Barangay </t>
  </si>
  <si>
    <t xml:space="preserve">PU</t>
  </si>
  <si>
    <t xml:space="preserve">PV</t>
  </si>
  <si>
    <t xml:space="preserve">PW</t>
  </si>
  <si>
    <t xml:space="preserve">PS</t>
  </si>
  <si>
    <t xml:space="preserve">PT</t>
  </si>
  <si>
    <t xml:space="preserve">OP</t>
  </si>
  <si>
    <t xml:space="preserve">PQ</t>
  </si>
  <si>
    <t xml:space="preserve">Employed*</t>
  </si>
  <si>
    <t xml:space="preserve">Business/Self-employed*</t>
  </si>
  <si>
    <t xml:space="preserve">Unemployed</t>
  </si>
  <si>
    <t xml:space="preserve">Permanent</t>
  </si>
  <si>
    <t xml:space="preserve">Contractual</t>
  </si>
  <si>
    <t xml:space="preserve">Temporary</t>
  </si>
  <si>
    <t xml:space="preserve">Formal</t>
  </si>
  <si>
    <t xml:space="preserve">Informal</t>
  </si>
  <si>
    <t xml:space="preserve">* Multiple answers (HH members may have one or more than one sources of income)</t>
  </si>
  <si>
    <t xml:space="preserve">Table 4.3‑9  Monthly Income of Household (PhP) per Barangay</t>
  </si>
  <si>
    <t xml:space="preserve">QL</t>
  </si>
  <si>
    <t xml:space="preserve">Combined HH Income Range (PhP)</t>
  </si>
  <si>
    <t xml:space="preserve">5000 to</t>
  </si>
  <si>
    <t xml:space="preserve">10001 to</t>
  </si>
  <si>
    <t xml:space="preserve">15001 to</t>
  </si>
  <si>
    <t xml:space="preserve">20001 to</t>
  </si>
  <si>
    <t xml:space="preserve">30001 to</t>
  </si>
  <si>
    <t xml:space="preserve">No SOURCE</t>
  </si>
  <si>
    <t xml:space="preserve">&lt;5,000</t>
  </si>
  <si>
    <t xml:space="preserve">&gt;50,001</t>
  </si>
  <si>
    <t xml:space="preserve">of Income</t>
  </si>
  <si>
    <t xml:space="preserve">Table 4.3‑9  Monthly Income of Household (PhP) of Legal Households</t>
  </si>
  <si>
    <t xml:space="preserve">Table 4.3‑9  Monthly Income of Household (PhP) of ISF</t>
  </si>
  <si>
    <t xml:space="preserve">Table 4.3‑10 Monthly Expenditure of Household per Barangay</t>
  </si>
  <si>
    <t xml:space="preserve">RD</t>
  </si>
  <si>
    <t xml:space="preserve">&lt; 3,000</t>
  </si>
  <si>
    <t xml:space="preserve">3,000-5,000</t>
  </si>
  <si>
    <t xml:space="preserve">5,000-10,000</t>
  </si>
  <si>
    <t xml:space="preserve">10,000-30,000</t>
  </si>
  <si>
    <t xml:space="preserve">&gt;30,000</t>
  </si>
  <si>
    <t xml:space="preserve">Malanday (Valenzuela depot)</t>
  </si>
  <si>
    <t xml:space="preserve">Table 4.3‑10 Monthly Expenditure of Household (Legal)</t>
  </si>
  <si>
    <t xml:space="preserve"> TOTAL</t>
  </si>
  <si>
    <t xml:space="preserve">Table 4.3‑10 Monthly Expenditure of Household (ISF)</t>
  </si>
  <si>
    <t xml:space="preserve">Table 4.3‑11  Place of Employment of MALE Household Head per Barangay (Filter Male in Column W)</t>
  </si>
  <si>
    <t xml:space="preserve">PX (numeric value); PY (text value)</t>
  </si>
  <si>
    <t xml:space="preserve">Within same barangay</t>
  </si>
  <si>
    <t xml:space="preserve">Within same municipality or city</t>
  </si>
  <si>
    <t xml:space="preserve">Within the same province</t>
  </si>
  <si>
    <t xml:space="preserve">Other provinces</t>
  </si>
  <si>
    <t xml:space="preserve">Overseas worker</t>
  </si>
  <si>
    <t xml:space="preserve">Number</t>
  </si>
  <si>
    <t xml:space="preserve">%</t>
  </si>
  <si>
    <t xml:space="preserve">Table 4.3‑12  Place of Employment of FEMALE Household Head per Barangay  (Filter Female in Column W)</t>
  </si>
  <si>
    <t xml:space="preserve">Table 4.3‑13  Average Daily Commutation Cost (PhP)</t>
  </si>
  <si>
    <t xml:space="preserve">Filter male entry in column W then derive data in QH</t>
  </si>
  <si>
    <t xml:space="preserve">Filter female entry in column W then derive data in QH</t>
  </si>
  <si>
    <t xml:space="preserve">MALE</t>
  </si>
  <si>
    <t xml:space="preserve">FEMALE</t>
  </si>
  <si>
    <t xml:space="preserve">Household</t>
  </si>
  <si>
    <t xml:space="preserve">Head</t>
  </si>
  <si>
    <r>
      <rPr>
        <sz val="12"/>
        <color rgb="FF000000"/>
        <rFont val="Times New Roman"/>
        <family val="1"/>
        <charset val="1"/>
      </rPr>
      <t xml:space="preserve">Malolos</t>
    </r>
    <r>
      <rPr>
        <sz val="12"/>
        <color rgb="FF000000"/>
        <rFont val="Calibri"/>
        <family val="2"/>
        <charset val="1"/>
      </rPr>
      <t xml:space="preserve">¹</t>
    </r>
  </si>
  <si>
    <t xml:space="preserve">Include barangay level</t>
  </si>
  <si>
    <t xml:space="preserve">Household Utilities</t>
  </si>
  <si>
    <t xml:space="preserve">Source of Lighting</t>
  </si>
  <si>
    <t xml:space="preserve">RE</t>
  </si>
  <si>
    <t xml:space="preserve">Owned Electric meter</t>
  </si>
  <si>
    <t xml:space="preserve">Sharing (neighborhood)</t>
  </si>
  <si>
    <t xml:space="preserve">Gaas/Kerosene </t>
  </si>
  <si>
    <t xml:space="preserve">Source of Fuel for cooking</t>
  </si>
  <si>
    <t xml:space="preserve">RF</t>
  </si>
  <si>
    <t xml:space="preserve">Electricity</t>
  </si>
  <si>
    <t xml:space="preserve">Wood</t>
  </si>
  <si>
    <t xml:space="preserve">Kerosene (gas)</t>
  </si>
  <si>
    <t xml:space="preserve">LPG</t>
  </si>
  <si>
    <t xml:space="preserve">Charcoal (uling)</t>
  </si>
  <si>
    <t xml:space="preserve">Water supply</t>
  </si>
  <si>
    <t xml:space="preserve">RG</t>
  </si>
  <si>
    <t xml:space="preserve">Maynilad/ Manila water</t>
  </si>
  <si>
    <t xml:space="preserve">Deepwell</t>
  </si>
  <si>
    <t xml:space="preserve">Shallow well</t>
  </si>
  <si>
    <t xml:space="preserve">Water refill</t>
  </si>
  <si>
    <t xml:space="preserve">Sanitation</t>
  </si>
  <si>
    <t xml:space="preserve">RH</t>
  </si>
  <si>
    <t xml:space="preserve">Personal water sealed flush (inside)</t>
  </si>
  <si>
    <t xml:space="preserve">Personal water sealed flush (outisde)</t>
  </si>
  <si>
    <t xml:space="preserve">Common water sealed flush</t>
  </si>
  <si>
    <t xml:space="preserve">Open pit</t>
  </si>
  <si>
    <t xml:space="preserve">Covered pit (antipolo)</t>
  </si>
  <si>
    <t xml:space="preserve">Household Assets</t>
  </si>
  <si>
    <t xml:space="preserve">RI</t>
  </si>
  <si>
    <t xml:space="preserve">RJ</t>
  </si>
  <si>
    <t xml:space="preserve">RK</t>
  </si>
  <si>
    <t xml:space="preserve">RL</t>
  </si>
  <si>
    <t xml:space="preserve">RM</t>
  </si>
  <si>
    <t xml:space="preserve">RN</t>
  </si>
  <si>
    <t xml:space="preserve">RO</t>
  </si>
  <si>
    <t xml:space="preserve">RP</t>
  </si>
  <si>
    <t xml:space="preserve">RQ</t>
  </si>
  <si>
    <t xml:space="preserve">RR</t>
  </si>
  <si>
    <t xml:space="preserve">RS</t>
  </si>
  <si>
    <t xml:space="preserve">RT</t>
  </si>
  <si>
    <t xml:space="preserve">RU</t>
  </si>
  <si>
    <t xml:space="preserve">RV</t>
  </si>
  <si>
    <t xml:space="preserve">RW</t>
  </si>
  <si>
    <t xml:space="preserve">RX</t>
  </si>
  <si>
    <t xml:space="preserve">RY</t>
  </si>
  <si>
    <t xml:space="preserve">RZ</t>
  </si>
  <si>
    <t xml:space="preserve">SA</t>
  </si>
  <si>
    <t xml:space="preserve">SB</t>
  </si>
  <si>
    <t xml:space="preserve">SC</t>
  </si>
  <si>
    <t xml:space="preserve">Tricylcle</t>
  </si>
  <si>
    <t xml:space="preserve">Motorcycle</t>
  </si>
  <si>
    <t xml:space="preserve">Lap/desk top computer</t>
  </si>
  <si>
    <t xml:space="preserve">Eletric Fan</t>
  </si>
  <si>
    <t xml:space="preserve">Television</t>
  </si>
  <si>
    <t xml:space="preserve">Radio </t>
  </si>
  <si>
    <t xml:space="preserve">Music Component</t>
  </si>
  <si>
    <t xml:space="preserve">Amplifier</t>
  </si>
  <si>
    <t xml:space="preserve">Refrigerator</t>
  </si>
  <si>
    <t xml:space="preserve">Stove</t>
  </si>
  <si>
    <t xml:space="preserve">Superkalan</t>
  </si>
  <si>
    <t xml:space="preserve">Portable/DVD</t>
  </si>
  <si>
    <t xml:space="preserve">Car</t>
  </si>
  <si>
    <t xml:space="preserve">Gadget</t>
  </si>
  <si>
    <t xml:space="preserve">Tryke/Bike</t>
  </si>
  <si>
    <t xml:space="preserve">Rice Cooker</t>
  </si>
  <si>
    <t xml:space="preserve">Jeepney</t>
  </si>
  <si>
    <t xml:space="preserve">Water Purifier</t>
  </si>
  <si>
    <t xml:space="preserve">Aircon</t>
  </si>
  <si>
    <t xml:space="preserve">Washing Machine</t>
  </si>
  <si>
    <t xml:space="preserve">Sewing Machine</t>
  </si>
  <si>
    <t xml:space="preserve">O. FLOODING</t>
  </si>
  <si>
    <t xml:space="preserve">Table 1.  Flooding Experience</t>
  </si>
  <si>
    <t xml:space="preserve">VG</t>
  </si>
  <si>
    <t xml:space="preserve">Cities/ Municipalities</t>
  </si>
  <si>
    <t xml:space="preserve">Yes</t>
  </si>
  <si>
    <t xml:space="preserve">select flood_5years from survey group by flood_5years</t>
  </si>
  <si>
    <t xml:space="preserve">select flood_5years,count(uid) from survey WHERE `address` LIKE '%Manila%' AND hh_head LIKE '%[322]' group by flood_5years</t>
  </si>
  <si>
    <t xml:space="preserve">Valenzuela (DePot)</t>
  </si>
  <si>
    <t xml:space="preserve">Table 2. Highest Flooding experienced for the last 5 Years</t>
  </si>
  <si>
    <t xml:space="preserve">VH</t>
  </si>
  <si>
    <t xml:space="preserve">Yearly</t>
  </si>
  <si>
    <t xml:space="preserve">2017</t>
  </si>
  <si>
    <t xml:space="preserve">Multiple?</t>
  </si>
  <si>
    <t xml:space="preserve">Table 3. Name of typhoon</t>
  </si>
  <si>
    <t xml:space="preserve">VI</t>
  </si>
  <si>
    <t xml:space="preserve">Typhoon</t>
  </si>
  <si>
    <t xml:space="preserve">Intetrnational Name</t>
  </si>
  <si>
    <t xml:space="preserve">Ketsana</t>
  </si>
  <si>
    <t xml:space="preserve">Haiyan</t>
  </si>
  <si>
    <t xml:space="preserve">Nock-ten</t>
  </si>
  <si>
    <t xml:space="preserve">Rammasun</t>
  </si>
  <si>
    <t xml:space="preserve">Nesat</t>
  </si>
  <si>
    <t xml:space="preserve">Koppu</t>
  </si>
  <si>
    <t xml:space="preserve">Fung-wong</t>
  </si>
  <si>
    <t xml:space="preserve">Local Name</t>
  </si>
  <si>
    <t xml:space="preserve">Ondoy</t>
  </si>
  <si>
    <t xml:space="preserve">Yolanda</t>
  </si>
  <si>
    <t xml:space="preserve">Juaning</t>
  </si>
  <si>
    <t xml:space="preserve">Glenda</t>
  </si>
  <si>
    <t xml:space="preserve">Pedring</t>
  </si>
  <si>
    <t xml:space="preserve">Lando</t>
  </si>
  <si>
    <t xml:space="preserve">Mario</t>
  </si>
  <si>
    <t xml:space="preserve">Falcon</t>
  </si>
  <si>
    <t xml:space="preserve">Ineng</t>
  </si>
  <si>
    <t xml:space="preserve">*</t>
  </si>
  <si>
    <t xml:space="preserve">Table 4. How many times a year?</t>
  </si>
  <si>
    <t xml:space="preserve">VJ</t>
  </si>
  <si>
    <t xml:space="preserve">Once</t>
  </si>
  <si>
    <t xml:space="preserve">Twice</t>
  </si>
  <si>
    <t xml:space="preserve">Thrice</t>
  </si>
  <si>
    <t xml:space="preserve">&gt;Thrice</t>
  </si>
  <si>
    <t xml:space="preserve">No Idea</t>
  </si>
  <si>
    <t xml:space="preserve">Table 5. Maximum Height of Flooding</t>
  </si>
  <si>
    <t xml:space="preserve">VK</t>
  </si>
  <si>
    <t xml:space="preserve">Range (in Meters)</t>
  </si>
  <si>
    <t xml:space="preserve">&lt;0.5</t>
  </si>
  <si>
    <t xml:space="preserve">0.5 - 1</t>
  </si>
  <si>
    <t xml:space="preserve">&gt;1 - 1.5</t>
  </si>
  <si>
    <t xml:space="preserve">&gt;1.5 - 2</t>
  </si>
  <si>
    <t xml:space="preserve">&gt;2 - 3</t>
  </si>
  <si>
    <t xml:space="preserve">&gt;3 - 4</t>
  </si>
  <si>
    <t xml:space="preserve">SELECT flood_max_height, count(uid) FROM survey WHERE hh_head LIKE '%[322]' AND (flood_5years = 'Y' OR flood_5years = 'y') GROUP BY flood_max_height</t>
  </si>
  <si>
    <t xml:space="preserve">Table 6. Location of Flooding</t>
  </si>
  <si>
    <t xml:space="preserve">VL</t>
  </si>
  <si>
    <t xml:space="preserve">Along the Street/Road</t>
  </si>
  <si>
    <t xml:space="preserve">Front of House</t>
  </si>
  <si>
    <t xml:space="preserve">Inside the House</t>
  </si>
  <si>
    <t xml:space="preserve">Table 7. Damage Cost</t>
  </si>
  <si>
    <t xml:space="preserve">VM</t>
  </si>
  <si>
    <t xml:space="preserve">&lt;100</t>
  </si>
  <si>
    <t xml:space="preserve">100-1000</t>
  </si>
  <si>
    <t xml:space="preserve">1001-10,000</t>
  </si>
  <si>
    <t xml:space="preserve">10,001-100,000</t>
  </si>
  <si>
    <t xml:space="preserve">100,001-500,000</t>
  </si>
  <si>
    <t xml:space="preserve">None</t>
  </si>
  <si>
    <t xml:space="preserve">Table 8. Duration of Flood</t>
  </si>
  <si>
    <t xml:space="preserve">VN</t>
  </si>
  <si>
    <t xml:space="preserve">&lt;6-hrs</t>
  </si>
  <si>
    <t xml:space="preserve">6-hrs - &lt;12-hrs</t>
  </si>
  <si>
    <t xml:space="preserve">12hrs-&lt;24hrs</t>
  </si>
  <si>
    <t xml:space="preserve">24hrs-&lt;96hrs</t>
  </si>
  <si>
    <t xml:space="preserve">96hrs-168hrs</t>
  </si>
  <si>
    <t xml:space="preserve">&gt;1-week</t>
  </si>
  <si>
    <t xml:space="preserve">Table 4.4‑1  Gender of Household Heads per Barangay</t>
  </si>
  <si>
    <t xml:space="preserve">Table 4.4‑2  Persons Who Need Special Assistance </t>
  </si>
  <si>
    <t xml:space="preserve">MF</t>
  </si>
  <si>
    <t xml:space="preserve">Physical &amp; Mental Disabilities</t>
  </si>
  <si>
    <t xml:space="preserve">Need Assistance to Walk</t>
  </si>
  <si>
    <t xml:space="preserve">Need Special Medicare</t>
  </si>
  <si>
    <t xml:space="preserve">Seriously Ill</t>
  </si>
  <si>
    <t xml:space="preserve">Difficulties in Communication</t>
  </si>
  <si>
    <t xml:space="preserve">Total*</t>
  </si>
  <si>
    <t xml:space="preserve">* based on HH members</t>
  </si>
  <si>
    <t xml:space="preserve">Table 4.4‑3  Vulnerable Groups</t>
  </si>
  <si>
    <t xml:space="preserve">MC</t>
  </si>
  <si>
    <t xml:space="preserve">MD</t>
  </si>
  <si>
    <t xml:space="preserve">ME</t>
  </si>
  <si>
    <t xml:space="preserve">City/ Municipality</t>
  </si>
  <si>
    <r>
      <rPr>
        <b val="true"/>
        <sz val="10"/>
        <color rgb="FF000000"/>
        <rFont val="Times New Roman"/>
        <family val="1"/>
        <charset val="1"/>
      </rPr>
      <t xml:space="preserve">Poor</t>
    </r>
    <r>
      <rPr>
        <b val="true"/>
        <vertAlign val="superscript"/>
        <sz val="10"/>
        <color rgb="FF000000"/>
        <rFont val="Times New Roman"/>
        <family val="1"/>
        <charset val="1"/>
      </rPr>
      <t xml:space="preserve">*1</t>
    </r>
  </si>
  <si>
    <r>
      <rPr>
        <b val="true"/>
        <sz val="10"/>
        <color rgb="FF000000"/>
        <rFont val="Times New Roman"/>
        <family val="1"/>
        <charset val="1"/>
      </rPr>
      <t xml:space="preserve">Elderly</t>
    </r>
    <r>
      <rPr>
        <b val="true"/>
        <vertAlign val="superscript"/>
        <sz val="10"/>
        <color rgb="FF000000"/>
        <rFont val="Times New Roman"/>
        <family val="1"/>
        <charset val="1"/>
      </rPr>
      <t xml:space="preserve">*2</t>
    </r>
  </si>
  <si>
    <r>
      <rPr>
        <b val="true"/>
        <sz val="10"/>
        <color rgb="FF000000"/>
        <rFont val="Times New Roman"/>
        <family val="1"/>
        <charset val="1"/>
      </rPr>
      <t xml:space="preserve">Women-headed households</t>
    </r>
    <r>
      <rPr>
        <b val="true"/>
        <vertAlign val="superscript"/>
        <sz val="10"/>
        <color rgb="FF000000"/>
        <rFont val="Times New Roman"/>
        <family val="1"/>
        <charset val="1"/>
      </rPr>
      <t xml:space="preserve">*3</t>
    </r>
  </si>
  <si>
    <r>
      <rPr>
        <b val="true"/>
        <sz val="10"/>
        <color rgb="FF000000"/>
        <rFont val="Times New Roman"/>
        <family val="1"/>
        <charset val="1"/>
      </rPr>
      <t xml:space="preserve">Persons need special assistance</t>
    </r>
    <r>
      <rPr>
        <b val="true"/>
        <vertAlign val="superscript"/>
        <sz val="10"/>
        <color rgb="FF000000"/>
        <rFont val="Times New Roman"/>
        <family val="1"/>
        <charset val="1"/>
      </rPr>
      <t xml:space="preserve">*4</t>
    </r>
  </si>
  <si>
    <t xml:space="preserve">17 *5</t>
  </si>
  <si>
    <t xml:space="preserve">1 - Household famiy with less than 10,000 Income</t>
  </si>
  <si>
    <t xml:space="preserve">2 - Households with Elderly of 60 and above</t>
  </si>
  <si>
    <t xml:space="preserve">3 - Households headed by women</t>
  </si>
  <si>
    <t xml:space="preserve">4 - Household with persons who Needs Assistance</t>
  </si>
  <si>
    <t xml:space="preserve">5 - 17 Structures are included at this group</t>
  </si>
  <si>
    <t xml:space="preserve">Vulnerable HH Number of entry per row (MC+MD+ME+MF)</t>
  </si>
  <si>
    <t xml:space="preserve">Table 4.4‑4 Female Participation in Household Decision Making</t>
  </si>
  <si>
    <t xml:space="preserve">Financial matters</t>
  </si>
  <si>
    <t xml:space="preserve">Education of child</t>
  </si>
  <si>
    <t xml:space="preserve">Health care of child</t>
  </si>
  <si>
    <t xml:space="preserve">Purchase of assets</t>
  </si>
  <si>
    <t xml:space="preserve">Day to day activities</t>
  </si>
  <si>
    <t xml:space="preserve">Social functions and marriages</t>
  </si>
  <si>
    <t xml:space="preserve">Multiple answers</t>
  </si>
  <si>
    <t xml:space="preserve">Table 4.5‑8  Livelihood Rehabilitation Measures </t>
  </si>
  <si>
    <t xml:space="preserve">SK</t>
  </si>
  <si>
    <t xml:space="preserve">Job Employment</t>
  </si>
  <si>
    <t xml:space="preserve">Business Capital/Funds</t>
  </si>
  <si>
    <t xml:space="preserve">Livelihood Program</t>
  </si>
  <si>
    <t xml:space="preserve">Table 4.5‑3  Willingness of Relocation</t>
  </si>
  <si>
    <t xml:space="preserve">Filter data of ISF, under column BS filter only residential and mixed use, then under BY, eliminate the less than 20%of impact and auxiliary to get the severely affected then filter only the structure owner under BT</t>
  </si>
  <si>
    <t xml:space="preserve">yes equivalent to those who chose relocation, no equialent to chose cas compensation and balik probinsiya then the rest ar no answers</t>
  </si>
  <si>
    <t xml:space="preserve">KI </t>
  </si>
  <si>
    <t xml:space="preserve">Table 4.5‑4  Preference for Relocation Package or Cash Compensation </t>
  </si>
  <si>
    <t xml:space="preserve">Relocation Package</t>
  </si>
  <si>
    <t xml:space="preserve">Cash Compensation</t>
  </si>
  <si>
    <r>
      <rPr>
        <b val="true"/>
        <sz val="10"/>
        <color rgb="FF000000"/>
        <rFont val="Times New Roman"/>
        <family val="1"/>
        <charset val="1"/>
      </rPr>
      <t xml:space="preserve">Others</t>
    </r>
    <r>
      <rPr>
        <b val="true"/>
        <sz val="10"/>
        <color rgb="FF000000"/>
        <rFont val="Calibri"/>
        <family val="2"/>
        <charset val="1"/>
      </rPr>
      <t xml:space="preserve">¹</t>
    </r>
  </si>
  <si>
    <t xml:space="preserve">Include per barangay data</t>
  </si>
  <si>
    <t xml:space="preserve">Table 4.5‑5  Preference for Possible Relocation Site </t>
  </si>
  <si>
    <t xml:space="preserve">KL </t>
  </si>
  <si>
    <t xml:space="preserve">Cavite</t>
  </si>
  <si>
    <t xml:space="preserve">Displina Village</t>
  </si>
  <si>
    <t xml:space="preserve">NorthVille 5, Bocaue Bulacan</t>
  </si>
  <si>
    <t xml:space="preserve">NorthVille 7, Guiguinto  Bulacan</t>
  </si>
  <si>
    <t xml:space="preserve">Pandi Residence, Pandi Bulacan</t>
  </si>
  <si>
    <t xml:space="preserve">San Jose Del Monte Heigths, SJDM Bulacan</t>
  </si>
  <si>
    <t xml:space="preserve">No answer</t>
  </si>
  <si>
    <t xml:space="preserve">Table 4.5‑6  Factors Considered in Choosing Relocation Sites </t>
  </si>
  <si>
    <t xml:space="preserve">KQ</t>
  </si>
  <si>
    <t xml:space="preserve">KR</t>
  </si>
  <si>
    <t xml:space="preserve">KS</t>
  </si>
  <si>
    <t xml:space="preserve">KT</t>
  </si>
  <si>
    <t xml:space="preserve">KU</t>
  </si>
  <si>
    <t xml:space="preserve">KV</t>
  </si>
  <si>
    <t xml:space="preserve">KW</t>
  </si>
  <si>
    <t xml:space="preserve">Proximity to</t>
  </si>
  <si>
    <t xml:space="preserve">Access and</t>
  </si>
  <si>
    <t xml:space="preserve">Proximity</t>
  </si>
  <si>
    <t xml:space="preserve">Still</t>
  </si>
  <si>
    <t xml:space="preserve">current area</t>
  </si>
  <si>
    <t xml:space="preserve">current Job / </t>
  </si>
  <si>
    <t xml:space="preserve">priximity to</t>
  </si>
  <si>
    <t xml:space="preserve">to market</t>
  </si>
  <si>
    <t xml:space="preserve">proximity to</t>
  </si>
  <si>
    <t xml:space="preserve">acquire 4P's</t>
  </si>
  <si>
    <t xml:space="preserve">Other</t>
  </si>
  <si>
    <t xml:space="preserve">of residence</t>
  </si>
  <si>
    <t xml:space="preserve">Source of</t>
  </si>
  <si>
    <t xml:space="preserve">basic social</t>
  </si>
  <si>
    <t xml:space="preserve">place</t>
  </si>
  <si>
    <t xml:space="preserve">mode of</t>
  </si>
  <si>
    <t xml:space="preserve">Benefits</t>
  </si>
  <si>
    <r>
      <rPr>
        <b val="true"/>
        <sz val="10"/>
        <color rgb="FF000000"/>
        <rFont val="Times New Roman"/>
        <family val="1"/>
        <charset val="1"/>
      </rPr>
      <t xml:space="preserve">factors</t>
    </r>
    <r>
      <rPr>
        <b val="true"/>
        <sz val="10"/>
        <color rgb="FF000000"/>
        <rFont val="Calibri"/>
        <family val="2"/>
        <charset val="1"/>
      </rPr>
      <t xml:space="preserve">¹</t>
    </r>
  </si>
  <si>
    <t xml:space="preserve">Income</t>
  </si>
  <si>
    <t xml:space="preserve">services</t>
  </si>
  <si>
    <t xml:space="preserve">Transportation</t>
  </si>
  <si>
    <t xml:space="preserve">Table 4.5‑5  Most Desired Services and Facilities in Relocation Site</t>
  </si>
  <si>
    <t xml:space="preserve">KZ</t>
  </si>
  <si>
    <t xml:space="preserve">LA</t>
  </si>
  <si>
    <t xml:space="preserve">LB</t>
  </si>
  <si>
    <t xml:space="preserve">LC</t>
  </si>
  <si>
    <t xml:space="preserve">LD</t>
  </si>
  <si>
    <t xml:space="preserve">LE</t>
  </si>
  <si>
    <t xml:space="preserve">LF</t>
  </si>
  <si>
    <t xml:space="preserve">LG</t>
  </si>
  <si>
    <t xml:space="preserve">LH</t>
  </si>
  <si>
    <t xml:space="preserve">Municipalities/Cities</t>
  </si>
  <si>
    <t xml:space="preserve">Health Centre</t>
  </si>
  <si>
    <t xml:space="preserve">Private Clinic</t>
  </si>
  <si>
    <t xml:space="preserve">Public Hospital</t>
  </si>
  <si>
    <t xml:space="preserve">Police Outpost</t>
  </si>
  <si>
    <t xml:space="preserve">Livelihood Centre</t>
  </si>
  <si>
    <t xml:space="preserve">Market</t>
  </si>
  <si>
    <t xml:space="preserve">School</t>
  </si>
  <si>
    <t xml:space="preserve">Brgy. Hall</t>
  </si>
  <si>
    <t xml:space="preserve">Percentage %</t>
  </si>
  <si>
    <t xml:space="preserve">Include barngay level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</si>
</sst>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%"/>
    <numFmt numFmtId="166" formatCode="@"/>
    <numFmt numFmtId="167" formatCode="#,##0"/>
    <numFmt numFmtId="168" formatCode="0%"/>
    <numFmt numFmtId="169" formatCode="D\-MMM"/>
    <numFmt numFmtId="170" formatCode="_(* #,##0.00_);_(* \(#,##0.00\);_(* \-??_);_(@_)"/>
    <numFmt numFmtId="171" formatCode="0"/>
  </numFmts>
  <fonts count="3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1"/>
    </font>
    <font>
      <i val="true"/>
      <sz val="10"/>
      <color rgb="FF000000"/>
      <name val="Times New Roman"/>
      <family val="1"/>
      <charset val="1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b val="true"/>
      <sz val="10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1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b val="true"/>
      <sz val="10"/>
      <color rgb="FF000000"/>
      <name val="Arial Narrow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u val="single"/>
      <sz val="10"/>
      <color rgb="FF0000FF"/>
      <name val="Times New Roman"/>
      <family val="1"/>
      <charset val="1"/>
    </font>
    <font>
      <b val="true"/>
      <i val="true"/>
      <sz val="10"/>
      <color rgb="FF000000"/>
      <name val="Times New Roman"/>
      <family val="1"/>
      <charset val="1"/>
    </font>
    <font>
      <sz val="10"/>
      <color rgb="FF000000"/>
      <name val="Calibri"/>
      <family val="2"/>
      <charset val="1"/>
    </font>
    <font>
      <b val="true"/>
      <vertAlign val="superscript"/>
      <sz val="10"/>
      <color rgb="FF000000"/>
      <name val="Times New Roman"/>
      <family val="1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D9D9D9"/>
      </patternFill>
    </fill>
    <fill>
      <patternFill patternType="solid">
        <fgColor rgb="FFBFBFBF"/>
        <bgColor rgb="FFA6A6A6"/>
      </patternFill>
    </fill>
    <fill>
      <patternFill patternType="solid">
        <fgColor rgb="FFD9D9D9"/>
        <bgColor rgb="FFDDDDDD"/>
      </patternFill>
    </fill>
    <fill>
      <patternFill patternType="solid">
        <fgColor rgb="FFA6A6A6"/>
        <bgColor rgb="FFBFBFBF"/>
      </patternFill>
    </fill>
  </fills>
  <borders count="29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>
        <color rgb="FFFF0000"/>
      </right>
      <top style="thin"/>
      <bottom style="thin"/>
      <diagonal/>
    </border>
    <border diagonalUp="false" diagonalDown="false">
      <left style="thin">
        <color rgb="FFFF0000"/>
      </left>
      <right style="thin">
        <color rgb="FFFF0000"/>
      </right>
      <top style="thin"/>
      <bottom style="thin"/>
      <diagonal/>
    </border>
    <border diagonalUp="false" diagonalDown="false">
      <left style="thin">
        <color rgb="FFFF0000"/>
      </left>
      <right style="thin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7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5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5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10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6" fillId="0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5" fillId="0" borderId="4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1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7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7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7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7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7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1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1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4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15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16" fillId="2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6" fillId="2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0" borderId="2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1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10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8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10" borderId="2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8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2" borderId="4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0" borderId="4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18" fillId="0" borderId="4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5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6" fillId="2" borderId="2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11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1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1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1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1" borderId="1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1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1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1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6" fillId="2" borderId="4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9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5" fillId="9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9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1" fillId="9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9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3" fillId="0" borderId="2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1" fillId="0" borderId="2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3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1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9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9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9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9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9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1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1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1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1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6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6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6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6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9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9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9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5" fillId="9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5" fillId="9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9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5" fillId="9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9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10" borderId="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5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1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11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11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11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11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11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1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11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1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1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6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6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1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10" borderId="8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5" fillId="0" borderId="1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1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1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1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1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1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1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1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25" fillId="0" borderId="4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25" fillId="0" borderId="2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2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20" fillId="2" borderId="4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5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5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5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30" fillId="0" borderId="2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10" borderId="1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9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11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6" fillId="0" borderId="2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1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10" borderId="4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15" fillId="10" borderId="2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5" fillId="0" borderId="2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6" fillId="0" borderId="28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10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15" fillId="10" borderId="2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5" fillId="0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15" fillId="10" borderId="4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5" fillId="10" borderId="1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10" borderId="1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0" fillId="0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20" fillId="0" borderId="2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1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1" fontId="15" fillId="9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6" fillId="0" borderId="4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16" fillId="0" borderId="4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16" fillId="0" borderId="2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1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5" fillId="10" borderId="4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15" fillId="10" borderId="2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15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6" fillId="10" borderId="2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11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5" fillId="11" borderId="1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5" fillId="11" borderId="2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5" fillId="11" borderId="2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5" fillId="11" borderId="2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5" fillId="11" borderId="1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5" fillId="11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1" builtinId="53" customBuiltin="true"/>
    <cellStyle name="Heading 1" xfId="22" builtinId="53" customBuiltin="true"/>
    <cellStyle name="Heading 2" xfId="23" builtinId="53" customBuiltin="true"/>
    <cellStyle name="Text" xfId="24" builtinId="53" customBuiltin="true"/>
    <cellStyle name="Note" xfId="25" builtinId="53" customBuiltin="true"/>
    <cellStyle name="Footnote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BFBFBF"/>
      <rgbColor rgb="FF808080"/>
      <rgbColor rgb="FF9999FF"/>
      <rgbColor rgb="FF993366"/>
      <rgbColor rgb="FFFFFFCC"/>
      <rgbColor rgb="FFDDDDDD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externalLink" Target="externalLinks/externalLink1.xml"/><Relationship Id="rId33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NSCR/SES/NSCR_database%20898_August%2022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ofPAFs"/>
      <sheetName val="isf.COMPO"/>
      <sheetName val="GAPS"/>
      <sheetName val="LEGAL"/>
      <sheetName val="ISFs"/>
      <sheetName val="Sheet2"/>
      <sheetName val="LEGAL.DRAFT"/>
      <sheetName val="ISF.DRAFT"/>
      <sheetName val="remove"/>
      <sheetName val="table4.1"/>
      <sheetName val="table4.3"/>
      <sheetName val="table4.4"/>
      <sheetName val="table4.5"/>
      <sheetName val="HH.names (2)"/>
      <sheetName val="HH.names"/>
      <sheetName val="SurveyDATA"/>
      <sheetName val="VALUE"/>
      <sheetName val="Sheet1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">
          <cell r="C1" t="str">
            <v>A.     RESPONDENT INFORMATION</v>
          </cell>
        </row>
        <row r="1">
          <cell r="T1" t="str">
            <v>B.     HOUSEHOLD DEMOGRAPHIC INFORMATION</v>
          </cell>
        </row>
        <row r="1">
          <cell r="KI1" t="str">
            <v>D4.     RELOCATION PACKAGE OPTION FOR ISFs with SEVERE RESSTTLEMENT IMPACTS (more than 20% impacts on structure)</v>
          </cell>
        </row>
        <row r="2">
          <cell r="KL2" t="str">
            <v>Preferred Relocation</v>
          </cell>
        </row>
        <row r="2">
          <cell r="KQ2" t="str">
            <v>In choosing relocation site, what are the most important factors you will consider?</v>
          </cell>
        </row>
        <row r="2">
          <cell r="KZ2" t="str">
            <v>Most desired basic services/facilities in reloc site. </v>
          </cell>
        </row>
        <row r="3">
          <cell r="C3" t="str">
            <v>Asset Number</v>
          </cell>
        </row>
        <row r="3">
          <cell r="E3" t="str">
            <v>Address</v>
          </cell>
        </row>
        <row r="3">
          <cell r="Q3" t="str">
            <v>L/R</v>
          </cell>
        </row>
        <row r="3">
          <cell r="T3" t="str">
            <v>Family Head</v>
          </cell>
        </row>
        <row r="3">
          <cell r="BS3" t="str">
            <v>Use</v>
          </cell>
          <cell r="BT3" t="str">
            <v>Type of DP</v>
          </cell>
        </row>
        <row r="3">
          <cell r="JR3" t="str">
            <v>Displacement</v>
          </cell>
        </row>
        <row r="3">
          <cell r="KG3" t="str">
            <v>Rent/Share</v>
          </cell>
        </row>
        <row r="3">
          <cell r="KI3" t="str">
            <v>What option</v>
          </cell>
          <cell r="KJ3" t="str">
            <v>if RELOCATION</v>
          </cell>
        </row>
        <row r="3">
          <cell r="KQ3" t="str">
            <v>Near to original residence</v>
          </cell>
          <cell r="KR3" t="str">
            <v>Near to sources of livelihood/ jobs</v>
          </cell>
          <cell r="KS3" t="str">
            <v>Near to health and school facilities</v>
          </cell>
          <cell r="KT3" t="str">
            <v> Accessible to markets</v>
          </cell>
          <cell r="KU3" t="str">
            <v> Accessible to transportation</v>
          </cell>
          <cell r="KV3" t="str">
            <v>To still acquire 4Ps benefits</v>
          </cell>
          <cell r="KW3" t="str">
            <v> Others, pls. specify</v>
          </cell>
          <cell r="KX3" t="str">
            <v>Willingness to pay monthly amortization</v>
          </cell>
        </row>
        <row r="3">
          <cell r="KZ3" t="str">
            <v>Health center</v>
          </cell>
          <cell r="LA3" t="str">
            <v>Private clinic</v>
          </cell>
          <cell r="LB3" t="str">
            <v>Government hospital</v>
          </cell>
          <cell r="LC3" t="str">
            <v>Police outpost</v>
          </cell>
          <cell r="LD3" t="str">
            <v>Livelihood center</v>
          </cell>
          <cell r="LE3" t="str">
            <v>Market</v>
          </cell>
          <cell r="LF3" t="str">
            <v>School</v>
          </cell>
          <cell r="LG3" t="str">
            <v>Barangay Hall</v>
          </cell>
        </row>
        <row r="3">
          <cell r="VV3" t="str">
            <v>Date Interviewed (898)</v>
          </cell>
          <cell r="VW3" t="str">
            <v>Government IDs</v>
          </cell>
          <cell r="VX3" t="str">
            <v>PWD ID</v>
          </cell>
        </row>
        <row r="4">
          <cell r="AS4">
            <v>0</v>
          </cell>
        </row>
        <row r="4">
          <cell r="JP4" t="str">
            <v>Electric</v>
          </cell>
        </row>
        <row r="4">
          <cell r="KG4" t="str">
            <v>Monthly</v>
          </cell>
        </row>
        <row r="4">
          <cell r="KJ4" t="str">
            <v>Preferred Province</v>
          </cell>
        </row>
        <row r="4">
          <cell r="KL4" t="str">
            <v>1st Priority</v>
          </cell>
        </row>
        <row r="5">
          <cell r="A5" t="str">
            <v>legal</v>
          </cell>
        </row>
        <row r="5">
          <cell r="C5" t="str">
            <v>MC-001</v>
          </cell>
        </row>
        <row r="5">
          <cell r="E5" t="str">
            <v>North Madison Place Subdivision, Mc. Arthur Highway, Tikay, Malolos City</v>
          </cell>
        </row>
        <row r="5">
          <cell r="BS5" t="str">
            <v>Residential</v>
          </cell>
          <cell r="BT5" t="str">
            <v>Structure Owner</v>
          </cell>
        </row>
        <row r="5">
          <cell r="VV5" t="str">
            <v>legal</v>
          </cell>
        </row>
        <row r="6">
          <cell r="A6" t="str">
            <v>isf</v>
          </cell>
        </row>
        <row r="6">
          <cell r="C6" t="str">
            <v>MC-005</v>
          </cell>
        </row>
        <row r="6">
          <cell r="E6" t="str">
            <v>North Madison Place Subdivision, Mc. Arthur Highway, Tikay, Malolos City</v>
          </cell>
        </row>
        <row r="6">
          <cell r="AS6">
            <v>0.225563909774436</v>
          </cell>
        </row>
        <row r="6">
          <cell r="BS6" t="str">
            <v>Commercial</v>
          </cell>
          <cell r="BT6" t="str">
            <v>Structure owner</v>
          </cell>
        </row>
        <row r="6">
          <cell r="JR6" t="str">
            <v>Can Stay</v>
          </cell>
        </row>
        <row r="6">
          <cell r="VV6" t="str">
            <v>isf</v>
          </cell>
        </row>
        <row r="7">
          <cell r="A7" t="str">
            <v>isf</v>
          </cell>
        </row>
        <row r="7">
          <cell r="C7" t="str">
            <v>MC-006</v>
          </cell>
        </row>
        <row r="7">
          <cell r="E7" t="str">
            <v>Diamond St., Capitol View Park Subd., Barangay Bulihan, Malolos City</v>
          </cell>
        </row>
        <row r="7">
          <cell r="T7" t="str">
            <v>Remedios Bernardo (CBL)</v>
          </cell>
        </row>
        <row r="7">
          <cell r="BS7" t="str">
            <v>Residential</v>
          </cell>
          <cell r="BT7" t="str">
            <v>Structure Owner</v>
          </cell>
        </row>
        <row r="7">
          <cell r="JR7" t="str">
            <v>Can Stay</v>
          </cell>
        </row>
        <row r="8">
          <cell r="A8" t="str">
            <v>legal</v>
          </cell>
        </row>
        <row r="8">
          <cell r="C8" t="str">
            <v>MC-007</v>
          </cell>
        </row>
        <row r="8">
          <cell r="E8" t="str">
            <v>Diamond St., Capitol View Park Subd., Barangay Bulihan, Malolos City</v>
          </cell>
        </row>
        <row r="8">
          <cell r="T8" t="str">
            <v>Noel Parong Cruz</v>
          </cell>
        </row>
        <row r="8">
          <cell r="AS8">
            <v>0.666666666666667</v>
          </cell>
        </row>
        <row r="8">
          <cell r="BS8" t="str">
            <v>Residential</v>
          </cell>
          <cell r="BT8" t="str">
            <v>Land Owner</v>
          </cell>
        </row>
        <row r="8">
          <cell r="VV8" t="str">
            <v>legal</v>
          </cell>
        </row>
        <row r="9">
          <cell r="A9" t="str">
            <v>legal 8</v>
          </cell>
        </row>
        <row r="9">
          <cell r="C9" t="str">
            <v>MC-007</v>
          </cell>
        </row>
        <row r="9">
          <cell r="E9" t="str">
            <v>Diamond St., Capitol View Park Subd., Barangay Bulihan, Malolos City</v>
          </cell>
        </row>
        <row r="9">
          <cell r="T9" t="str">
            <v>Jerico B. Cruz</v>
          </cell>
        </row>
        <row r="9">
          <cell r="BS9" t="str">
            <v>Residential</v>
          </cell>
          <cell r="BT9" t="str">
            <v>Structure Owner</v>
          </cell>
        </row>
        <row r="9">
          <cell r="JR9" t="str">
            <v>Need Displacement</v>
          </cell>
        </row>
        <row r="9">
          <cell r="VV9" t="str">
            <v>legal 8</v>
          </cell>
        </row>
        <row r="10">
          <cell r="A10" t="str">
            <v>legal</v>
          </cell>
        </row>
        <row r="10">
          <cell r="C10" t="str">
            <v>MC-008</v>
          </cell>
        </row>
        <row r="10">
          <cell r="E10" t="str">
            <v>Capitol View Park Subd., Barangay Bulihan, Malolos City</v>
          </cell>
        </row>
        <row r="10">
          <cell r="T10" t="str">
            <v>Romulo Danao Jr.</v>
          </cell>
        </row>
        <row r="10">
          <cell r="AS10">
            <v>0.0779166666666667</v>
          </cell>
        </row>
        <row r="10">
          <cell r="BS10" t="str">
            <v>Residential</v>
          </cell>
          <cell r="BT10" t="str">
            <v>Structure Owner</v>
          </cell>
        </row>
        <row r="10">
          <cell r="JR10" t="str">
            <v>Can Stay</v>
          </cell>
        </row>
        <row r="10">
          <cell r="VV10" t="str">
            <v>legal</v>
          </cell>
        </row>
        <row r="11">
          <cell r="A11" t="str">
            <v> legal</v>
          </cell>
        </row>
        <row r="11">
          <cell r="C11" t="str">
            <v>MC-008A</v>
          </cell>
        </row>
        <row r="11">
          <cell r="E11" t="str">
            <v>Capitol View Park Subd., Barangay Bulihan, Malolos City</v>
          </cell>
        </row>
        <row r="11">
          <cell r="T11" t="str">
            <v>Romulo Danao Jr.</v>
          </cell>
        </row>
        <row r="11">
          <cell r="AS11">
            <v>0.02625</v>
          </cell>
        </row>
        <row r="11">
          <cell r="BS11" t="str">
            <v>Residential</v>
          </cell>
          <cell r="BT11" t="str">
            <v>Structure Owner</v>
          </cell>
        </row>
        <row r="11">
          <cell r="JR11" t="str">
            <v>Can Stay</v>
          </cell>
        </row>
        <row r="11">
          <cell r="KG11">
            <v>3000</v>
          </cell>
        </row>
        <row r="11">
          <cell r="VV11" t="str">
            <v> legal</v>
          </cell>
        </row>
        <row r="12">
          <cell r="A12" t="str">
            <v>legal</v>
          </cell>
        </row>
        <row r="12">
          <cell r="C12" t="str">
            <v>MC-009.1</v>
          </cell>
        </row>
        <row r="12">
          <cell r="E12" t="str">
            <v>29 Diamond st., CVP Subd. Bulihan Malolos City</v>
          </cell>
        </row>
        <row r="12">
          <cell r="T12" t="str">
            <v>Dela Cruz, Joselito Mercado</v>
          </cell>
        </row>
        <row r="12">
          <cell r="AS12">
            <v>0.132916666666667</v>
          </cell>
        </row>
        <row r="12">
          <cell r="BS12" t="str">
            <v>Residential</v>
          </cell>
          <cell r="BT12" t="str">
            <v>Structure Owner</v>
          </cell>
        </row>
        <row r="12">
          <cell r="JR12" t="str">
            <v>Can Stay</v>
          </cell>
        </row>
        <row r="12">
          <cell r="VV12" t="str">
            <v>legal</v>
          </cell>
        </row>
        <row r="13">
          <cell r="A13" t="str">
            <v>legal</v>
          </cell>
        </row>
        <row r="13">
          <cell r="C13" t="str">
            <v>MC-009</v>
          </cell>
        </row>
        <row r="13">
          <cell r="E13" t="str">
            <v>29 Diamond st., CVP Subd. Bulihan Malolos City</v>
          </cell>
        </row>
        <row r="13">
          <cell r="T13" t="str">
            <v>Dela Cruz, Joselito Mercado</v>
          </cell>
        </row>
        <row r="13">
          <cell r="AS13">
            <v>0.187833333333333</v>
          </cell>
        </row>
        <row r="13">
          <cell r="BS13" t="str">
            <v>Residential</v>
          </cell>
          <cell r="BT13" t="str">
            <v>Land Owner</v>
          </cell>
        </row>
        <row r="13">
          <cell r="VV13" t="str">
            <v>legal</v>
          </cell>
        </row>
        <row r="14">
          <cell r="A14" t="str">
            <v>legal 18</v>
          </cell>
        </row>
        <row r="14">
          <cell r="C14" t="str">
            <v>MC-009</v>
          </cell>
        </row>
        <row r="14">
          <cell r="E14" t="str">
            <v>29 Diamond st., CVP Subd. Bulihan Malolos City</v>
          </cell>
        </row>
        <row r="14">
          <cell r="T14" t="str">
            <v>Batongbakal, Marlene</v>
          </cell>
        </row>
        <row r="14">
          <cell r="BS14" t="str">
            <v>Residential</v>
          </cell>
          <cell r="BT14" t="str">
            <v>Structure Owner</v>
          </cell>
        </row>
        <row r="14">
          <cell r="JR14" t="str">
            <v>Need Displacement</v>
          </cell>
        </row>
        <row r="14">
          <cell r="VV14" t="str">
            <v>legal 18</v>
          </cell>
        </row>
        <row r="15">
          <cell r="A15" t="str">
            <v>legal</v>
          </cell>
        </row>
        <row r="15">
          <cell r="C15" t="str">
            <v>MC-010</v>
          </cell>
        </row>
        <row r="15">
          <cell r="E15" t="str">
            <v>31 Diamond st., CVP Subd., Bulihan Bulacan</v>
          </cell>
        </row>
        <row r="15">
          <cell r="T15" t="str">
            <v>Cristobal, Andrew G.</v>
          </cell>
        </row>
        <row r="15">
          <cell r="AS15">
            <v>0.23625</v>
          </cell>
        </row>
        <row r="15">
          <cell r="BS15" t="str">
            <v>Mixed use</v>
          </cell>
          <cell r="BT15" t="str">
            <v>Structure Owner</v>
          </cell>
        </row>
        <row r="15">
          <cell r="JR15" t="str">
            <v>Can Stay</v>
          </cell>
        </row>
        <row r="15">
          <cell r="VV15" t="str">
            <v>legal</v>
          </cell>
        </row>
        <row r="16">
          <cell r="A16" t="str">
            <v>legal</v>
          </cell>
        </row>
        <row r="16">
          <cell r="C16" t="str">
            <v>MC-011</v>
          </cell>
        </row>
        <row r="16">
          <cell r="E16" t="str">
            <v>32 Diamond st., CVP Subd., Bulihan Bulacan</v>
          </cell>
        </row>
        <row r="16">
          <cell r="T16" t="str">
            <v>Inosanto, Eduardo Varilla</v>
          </cell>
        </row>
        <row r="16">
          <cell r="AS16">
            <v>0.265</v>
          </cell>
        </row>
        <row r="16">
          <cell r="BS16" t="str">
            <v>Residential</v>
          </cell>
          <cell r="BT16" t="str">
            <v>Structure Owner</v>
          </cell>
        </row>
        <row r="16">
          <cell r="JR16" t="str">
            <v>Need Displacement</v>
          </cell>
        </row>
        <row r="17">
          <cell r="A17" t="str">
            <v>legal</v>
          </cell>
        </row>
        <row r="17">
          <cell r="C17" t="str">
            <v>MC-012</v>
          </cell>
        </row>
        <row r="17">
          <cell r="E17" t="str">
            <v>Sapphire st., CVP Subd. Bulacan Bulihan</v>
          </cell>
        </row>
        <row r="17">
          <cell r="T17" t="str">
            <v>Onglao, Ferdinand Quiazon</v>
          </cell>
        </row>
        <row r="17">
          <cell r="AS17">
            <v>0.0916666666666667</v>
          </cell>
        </row>
        <row r="17">
          <cell r="BS17" t="str">
            <v>Residential</v>
          </cell>
          <cell r="BT17" t="str">
            <v>Land Owner</v>
          </cell>
        </row>
        <row r="17">
          <cell r="VV17" t="str">
            <v>legal</v>
          </cell>
        </row>
        <row r="18">
          <cell r="A18" t="str">
            <v>legal</v>
          </cell>
        </row>
        <row r="18">
          <cell r="C18" t="str">
            <v>MC-013</v>
          </cell>
        </row>
        <row r="18">
          <cell r="E18" t="str">
            <v>743 PNR st., Bulihan Malolos</v>
          </cell>
        </row>
        <row r="18">
          <cell r="T18" t="str">
            <v>Santos, Josefa D.</v>
          </cell>
        </row>
        <row r="18">
          <cell r="AS18">
            <v>0.0268456375838926</v>
          </cell>
        </row>
        <row r="18">
          <cell r="BS18" t="str">
            <v>Residential</v>
          </cell>
          <cell r="BT18" t="str">
            <v>Structure Owner</v>
          </cell>
        </row>
        <row r="18">
          <cell r="VV18" t="str">
            <v>legal</v>
          </cell>
        </row>
        <row r="19">
          <cell r="A19" t="str">
            <v>isf</v>
          </cell>
        </row>
        <row r="19">
          <cell r="C19" t="str">
            <v>MC-014A</v>
          </cell>
        </row>
        <row r="19">
          <cell r="E19" t="str">
            <v>23 Garnet st., CVP Subd. Bulihan Malolos Bulacan</v>
          </cell>
        </row>
        <row r="19">
          <cell r="T19" t="str">
            <v>Bautista, Jafer Tomaliwan</v>
          </cell>
        </row>
        <row r="19">
          <cell r="BS19" t="str">
            <v>Residential</v>
          </cell>
          <cell r="BT19" t="str">
            <v>Structure Owner</v>
          </cell>
        </row>
        <row r="19">
          <cell r="JR19" t="str">
            <v>Need Displacement</v>
          </cell>
        </row>
        <row r="19">
          <cell r="KI19" t="str">
            <v>Relocation</v>
          </cell>
        </row>
        <row r="19">
          <cell r="KL19" t="str">
            <v>Northville 5, Brgy Batia, Bocaue Bulacan</v>
          </cell>
        </row>
        <row r="19">
          <cell r="KQ19" t="str">
            <v>x</v>
          </cell>
        </row>
        <row r="19">
          <cell r="KX19" t="str">
            <v>Y</v>
          </cell>
        </row>
        <row r="19">
          <cell r="KZ19" t="str">
            <v>x</v>
          </cell>
          <cell r="LA19" t="str">
            <v>x</v>
          </cell>
        </row>
        <row r="19">
          <cell r="LD19" t="str">
            <v>x</v>
          </cell>
          <cell r="LE19" t="str">
            <v>x</v>
          </cell>
          <cell r="LF19" t="str">
            <v>x</v>
          </cell>
        </row>
        <row r="20">
          <cell r="A20" t="str">
            <v>isf</v>
          </cell>
        </row>
        <row r="20">
          <cell r="C20" t="str">
            <v>MC-015</v>
          </cell>
        </row>
        <row r="20">
          <cell r="E20" t="str">
            <v>2012 Garnet St., CVP, Bulihan, Malolos Bulacan</v>
          </cell>
        </row>
        <row r="20">
          <cell r="T20" t="str">
            <v>De Vera, Angel C.</v>
          </cell>
        </row>
        <row r="20">
          <cell r="AS20">
            <v>0.0187127870711653</v>
          </cell>
        </row>
        <row r="20">
          <cell r="BS20" t="str">
            <v>Residential</v>
          </cell>
          <cell r="BT20" t="str">
            <v>Structure Owner</v>
          </cell>
        </row>
        <row r="20">
          <cell r="JR20" t="str">
            <v>Can Stay</v>
          </cell>
        </row>
        <row r="20">
          <cell r="KI20" t="str">
            <v>Cash Compensation</v>
          </cell>
        </row>
        <row r="21">
          <cell r="A21" t="str">
            <v>legal</v>
          </cell>
        </row>
        <row r="21">
          <cell r="C21" t="str">
            <v>MC-015.1</v>
          </cell>
        </row>
        <row r="21">
          <cell r="E21" t="str">
            <v>Old PNR, Cmpd., Brgy. Catmon Malolos Bulacan</v>
          </cell>
        </row>
        <row r="21">
          <cell r="AS21">
            <v>1</v>
          </cell>
        </row>
        <row r="21">
          <cell r="BS21" t="str">
            <v>Institutional</v>
          </cell>
          <cell r="BT21" t="str">
            <v>Structure Owner</v>
          </cell>
        </row>
        <row r="21">
          <cell r="VV21" t="str">
            <v>legal</v>
          </cell>
        </row>
        <row r="22">
          <cell r="A22" t="str">
            <v>legal</v>
          </cell>
        </row>
        <row r="22">
          <cell r="C22" t="str">
            <v>MC-015.2</v>
          </cell>
        </row>
        <row r="22">
          <cell r="E22" t="str">
            <v>Old PNR, Cmpd., Brgy. Catmon Malolos Bulacan</v>
          </cell>
        </row>
        <row r="22">
          <cell r="AS22">
            <v>1</v>
          </cell>
        </row>
        <row r="22">
          <cell r="BS22" t="str">
            <v>Institutional</v>
          </cell>
          <cell r="BT22" t="str">
            <v>Institutional Occupant</v>
          </cell>
        </row>
        <row r="22">
          <cell r="JR22" t="str">
            <v>Need Displacement</v>
          </cell>
        </row>
        <row r="22">
          <cell r="VV22" t="str">
            <v>legal</v>
          </cell>
        </row>
        <row r="23">
          <cell r="A23" t="str">
            <v>legal</v>
          </cell>
        </row>
        <row r="23">
          <cell r="C23" t="str">
            <v>MC-015.3</v>
          </cell>
        </row>
        <row r="23">
          <cell r="E23" t="str">
            <v>Old PNR, Cmpd., Brgy. Catmon Malolos Bulacan</v>
          </cell>
        </row>
        <row r="23">
          <cell r="AS23">
            <v>0.277785828140849</v>
          </cell>
        </row>
        <row r="23">
          <cell r="BS23" t="str">
            <v>Institutional</v>
          </cell>
          <cell r="BT23" t="str">
            <v>Structure Owner</v>
          </cell>
        </row>
        <row r="23">
          <cell r="VV23" t="str">
            <v>legal</v>
          </cell>
        </row>
        <row r="24">
          <cell r="A24" t="str">
            <v>legal</v>
          </cell>
        </row>
        <row r="24">
          <cell r="C24" t="str">
            <v>MC-016</v>
          </cell>
        </row>
        <row r="24">
          <cell r="E24" t="str">
            <v>5029-C Hagonoy, San Pablo Malolos</v>
          </cell>
        </row>
        <row r="24">
          <cell r="T24" t="str">
            <v>Cruz, Marciano L.</v>
          </cell>
        </row>
        <row r="24">
          <cell r="AS24">
            <v>0.621095860801902</v>
          </cell>
        </row>
        <row r="24">
          <cell r="BS24" t="str">
            <v>Residential</v>
          </cell>
          <cell r="BT24" t="str">
            <v>Structure Owner</v>
          </cell>
        </row>
        <row r="24">
          <cell r="JR24" t="str">
            <v>Need Displacement</v>
          </cell>
        </row>
        <row r="24">
          <cell r="KI24" t="str">
            <v>Business capital/funds</v>
          </cell>
        </row>
        <row r="24">
          <cell r="VV24" t="str">
            <v>legal</v>
          </cell>
        </row>
        <row r="25">
          <cell r="A25" t="str">
            <v>legal 24</v>
          </cell>
        </row>
        <row r="25">
          <cell r="C25" t="str">
            <v>MC-016A</v>
          </cell>
        </row>
        <row r="25">
          <cell r="E25" t="str">
            <v>5029-C Hagonoy, San Pablo Malolos</v>
          </cell>
        </row>
        <row r="25">
          <cell r="T25" t="str">
            <v>Cruz, Marciano L.</v>
          </cell>
        </row>
        <row r="25">
          <cell r="BS25" t="str">
            <v>Commercial</v>
          </cell>
          <cell r="BT25" t="str">
            <v>Structure Owner</v>
          </cell>
        </row>
        <row r="25">
          <cell r="JR25" t="str">
            <v>Need Displacement</v>
          </cell>
        </row>
        <row r="25">
          <cell r="VV25" t="str">
            <v>legal 24</v>
          </cell>
        </row>
        <row r="26">
          <cell r="A26" t="str">
            <v>legal 24</v>
          </cell>
        </row>
        <row r="26">
          <cell r="C26" t="str">
            <v>MC-016A</v>
          </cell>
        </row>
        <row r="26">
          <cell r="E26" t="str">
            <v>5029-C Hagonoy, San Pablo Malolos</v>
          </cell>
        </row>
        <row r="26">
          <cell r="T26" t="str">
            <v>Cruz, Marciano L.</v>
          </cell>
        </row>
        <row r="26">
          <cell r="BS26" t="str">
            <v>Commercial</v>
          </cell>
          <cell r="BT26" t="str">
            <v>Commercial Tenant</v>
          </cell>
        </row>
        <row r="26">
          <cell r="JR26" t="str">
            <v>Need Displacement</v>
          </cell>
        </row>
        <row r="26">
          <cell r="VV26" t="str">
            <v>legal 24</v>
          </cell>
        </row>
        <row r="27">
          <cell r="A27" t="str">
            <v>legal</v>
          </cell>
        </row>
        <row r="27">
          <cell r="C27" t="str">
            <v>MC-018</v>
          </cell>
        </row>
        <row r="27">
          <cell r="E27" t="str">
            <v>17 Paseo Del Congreso, Malanggam, Catmon, Malolos</v>
          </cell>
        </row>
        <row r="27">
          <cell r="T27" t="str">
            <v>David, Manuelito</v>
          </cell>
        </row>
        <row r="27">
          <cell r="AS27">
            <v>0.24713216957606</v>
          </cell>
        </row>
        <row r="27">
          <cell r="BS27" t="str">
            <v>Residential</v>
          </cell>
          <cell r="BT27" t="str">
            <v>Structure Owner</v>
          </cell>
        </row>
        <row r="27">
          <cell r="JR27" t="str">
            <v>Can Stay</v>
          </cell>
        </row>
        <row r="27">
          <cell r="VV27" t="str">
            <v>legal</v>
          </cell>
        </row>
        <row r="28">
          <cell r="A28" t="str">
            <v>legal 27</v>
          </cell>
        </row>
        <row r="28">
          <cell r="C28" t="str">
            <v>MC-019</v>
          </cell>
        </row>
        <row r="28">
          <cell r="E28" t="str">
            <v>17 Paseo Del Congreso, Malanggam, Catmon, Malolos</v>
          </cell>
        </row>
        <row r="28">
          <cell r="BS28" t="str">
            <v>Commercial</v>
          </cell>
          <cell r="BT28" t="str">
            <v>Structure Owner</v>
          </cell>
        </row>
        <row r="28">
          <cell r="JR28" t="str">
            <v>Can Stay</v>
          </cell>
        </row>
        <row r="28">
          <cell r="VV28" t="str">
            <v>legal 27</v>
          </cell>
        </row>
        <row r="29">
          <cell r="A29" t="str">
            <v>legal 27</v>
          </cell>
        </row>
        <row r="29">
          <cell r="C29" t="str">
            <v>MC-019</v>
          </cell>
        </row>
        <row r="29">
          <cell r="E29" t="str">
            <v>17 Paseo Del Congreso, Malanggam, Catmon, Malolos</v>
          </cell>
        </row>
        <row r="29">
          <cell r="BS29" t="str">
            <v>Commercial</v>
          </cell>
          <cell r="BT29" t="str">
            <v>Commercial Tenant</v>
          </cell>
        </row>
        <row r="29">
          <cell r="JR29" t="str">
            <v>Need Displacement</v>
          </cell>
        </row>
        <row r="29">
          <cell r="VV29" t="str">
            <v>legal 27</v>
          </cell>
        </row>
        <row r="30">
          <cell r="A30" t="str">
            <v>legal 27</v>
          </cell>
        </row>
        <row r="30">
          <cell r="C30" t="str">
            <v>MC-017</v>
          </cell>
        </row>
        <row r="30">
          <cell r="E30" t="str">
            <v>89 Brgy. Catmon Malolos Bulacan</v>
          </cell>
        </row>
        <row r="30">
          <cell r="T30" t="str">
            <v>Rivera, John</v>
          </cell>
        </row>
        <row r="30">
          <cell r="BS30" t="str">
            <v>Residential</v>
          </cell>
          <cell r="BT30" t="str">
            <v>Structure Owner</v>
          </cell>
        </row>
        <row r="30">
          <cell r="JR30" t="str">
            <v>Can Stay</v>
          </cell>
        </row>
        <row r="30">
          <cell r="VV30" t="str">
            <v>legal 27</v>
          </cell>
        </row>
        <row r="31">
          <cell r="A31" t="str">
            <v>legal</v>
          </cell>
        </row>
        <row r="31">
          <cell r="C31" t="str">
            <v>MC-021</v>
          </cell>
        </row>
        <row r="31">
          <cell r="E31" t="str">
            <v>84 Catmon Malolos Bulacan</v>
          </cell>
        </row>
        <row r="31">
          <cell r="T31" t="str">
            <v>Tenorio, Virginia A</v>
          </cell>
        </row>
        <row r="31">
          <cell r="AS31">
            <v>0.2084</v>
          </cell>
        </row>
        <row r="31">
          <cell r="BS31" t="str">
            <v>Mixed use</v>
          </cell>
          <cell r="BT31" t="str">
            <v>Structure Owner</v>
          </cell>
        </row>
        <row r="31">
          <cell r="JR31" t="str">
            <v>Need Displacement</v>
          </cell>
        </row>
        <row r="32">
          <cell r="A32" t="str">
            <v>Legal 31</v>
          </cell>
        </row>
        <row r="32">
          <cell r="C32" t="str">
            <v>MC-020</v>
          </cell>
        </row>
        <row r="32">
          <cell r="E32" t="str">
            <v>84 Catmon Malolos Bulacan</v>
          </cell>
        </row>
        <row r="32">
          <cell r="T32" t="str">
            <v>Baustista, Lorenzo</v>
          </cell>
        </row>
        <row r="32">
          <cell r="BS32" t="str">
            <v>Residential</v>
          </cell>
          <cell r="BT32" t="str">
            <v>Structure Owner</v>
          </cell>
        </row>
        <row r="32">
          <cell r="JR32" t="str">
            <v>Can Stay</v>
          </cell>
        </row>
        <row r="32">
          <cell r="VV32" t="str">
            <v>Legal 31</v>
          </cell>
        </row>
        <row r="33">
          <cell r="A33" t="str">
            <v>Legal 31</v>
          </cell>
        </row>
        <row r="33">
          <cell r="C33" t="str">
            <v>MC-022</v>
          </cell>
        </row>
        <row r="33">
          <cell r="E33" t="str">
            <v>84 Looban, Catmon Malolos Bulacan</v>
          </cell>
        </row>
        <row r="33">
          <cell r="T33" t="str">
            <v>Tenorio, Liberty Escarsa</v>
          </cell>
        </row>
        <row r="33">
          <cell r="BS33" t="str">
            <v>Residential</v>
          </cell>
          <cell r="BT33" t="str">
            <v>Structure Owner</v>
          </cell>
        </row>
        <row r="33">
          <cell r="JR33" t="str">
            <v>Need Displacement</v>
          </cell>
        </row>
        <row r="33">
          <cell r="VV33" t="str">
            <v>Legal 31</v>
          </cell>
        </row>
        <row r="34">
          <cell r="A34" t="str">
            <v>Legal-r-31</v>
          </cell>
        </row>
        <row r="34">
          <cell r="C34" t="str">
            <v>MC-022</v>
          </cell>
        </row>
        <row r="34">
          <cell r="E34" t="str">
            <v>84 Looban Catmon Malolos Bulacan</v>
          </cell>
        </row>
        <row r="34">
          <cell r="T34" t="str">
            <v>Vergara, Jerrald Hinelo</v>
          </cell>
        </row>
        <row r="34">
          <cell r="BS34" t="str">
            <v>Residential</v>
          </cell>
          <cell r="BT34" t="str">
            <v>Structure Renter</v>
          </cell>
        </row>
        <row r="34">
          <cell r="JR34" t="str">
            <v>Need Displacement</v>
          </cell>
        </row>
        <row r="34">
          <cell r="VV34" t="str">
            <v>Legal-r-31</v>
          </cell>
        </row>
        <row r="35">
          <cell r="A35" t="str">
            <v>legal</v>
          </cell>
        </row>
        <row r="35">
          <cell r="C35" t="str">
            <v>MC-023</v>
          </cell>
        </row>
        <row r="35">
          <cell r="E35" t="str">
            <v>Catmon, Malolos Bulacan</v>
          </cell>
        </row>
        <row r="35">
          <cell r="T35" t="str">
            <v>Piscasio, Alfredo Sanchez</v>
          </cell>
        </row>
        <row r="35">
          <cell r="AS35">
            <v>0.232142857142857</v>
          </cell>
        </row>
        <row r="35">
          <cell r="BS35" t="str">
            <v>Residential</v>
          </cell>
          <cell r="BT35" t="str">
            <v>Structure Owner</v>
          </cell>
        </row>
        <row r="35">
          <cell r="JR35" t="str">
            <v>Can Stay</v>
          </cell>
        </row>
        <row r="35">
          <cell r="VV35" t="str">
            <v>legal</v>
          </cell>
        </row>
        <row r="36">
          <cell r="A36" t="str">
            <v>legal-r-35</v>
          </cell>
        </row>
        <row r="36">
          <cell r="C36" t="str">
            <v>MC-023</v>
          </cell>
        </row>
        <row r="36">
          <cell r="E36" t="str">
            <v>Catmon, Malolos Bulacan</v>
          </cell>
        </row>
        <row r="36">
          <cell r="T36" t="str">
            <v>Piscaso, Alfredo</v>
          </cell>
        </row>
        <row r="36">
          <cell r="BS36" t="str">
            <v>Residential</v>
          </cell>
          <cell r="BT36" t="str">
            <v>Structure Renter</v>
          </cell>
        </row>
        <row r="36">
          <cell r="JR36" t="str">
            <v>Can Stay</v>
          </cell>
        </row>
        <row r="36">
          <cell r="VV36" t="str">
            <v>legal-r-35</v>
          </cell>
        </row>
        <row r="37">
          <cell r="A37" t="str">
            <v>legal 35</v>
          </cell>
        </row>
        <row r="37">
          <cell r="C37" t="str">
            <v>MC-024</v>
          </cell>
        </row>
        <row r="37">
          <cell r="E37" t="str">
            <v>Catmon, Malolos Bulacan</v>
          </cell>
        </row>
        <row r="37">
          <cell r="T37" t="str">
            <v>Caluag, Jose</v>
          </cell>
        </row>
        <row r="37">
          <cell r="BS37" t="str">
            <v>Mixed use</v>
          </cell>
          <cell r="BT37" t="str">
            <v>Structure Owner</v>
          </cell>
        </row>
        <row r="37">
          <cell r="JR37" t="str">
            <v>Can Stay</v>
          </cell>
        </row>
        <row r="37">
          <cell r="VV37" t="str">
            <v>legal 35</v>
          </cell>
        </row>
        <row r="38">
          <cell r="A38" t="str">
            <v>isf</v>
          </cell>
        </row>
        <row r="38">
          <cell r="C38" t="str">
            <v>MC-025</v>
          </cell>
        </row>
        <row r="38">
          <cell r="E38" t="str">
            <v>Catmon, Malolos Bulacan</v>
          </cell>
        </row>
        <row r="38">
          <cell r="T38" t="str">
            <v>Nialla, Angelito</v>
          </cell>
        </row>
        <row r="38">
          <cell r="AS38">
            <v>1</v>
          </cell>
        </row>
        <row r="38">
          <cell r="BS38" t="str">
            <v>Residential</v>
          </cell>
          <cell r="BT38" t="str">
            <v>Structure Owner</v>
          </cell>
        </row>
        <row r="38">
          <cell r="VV38" t="str">
            <v>isf</v>
          </cell>
        </row>
        <row r="39">
          <cell r="A39" t="str">
            <v>isf</v>
          </cell>
        </row>
        <row r="39">
          <cell r="C39" t="str">
            <v>MC-026</v>
          </cell>
        </row>
        <row r="39">
          <cell r="E39" t="str">
            <v>Catmon, Malolos Bulacan</v>
          </cell>
        </row>
        <row r="39">
          <cell r="T39" t="str">
            <v>Lopez, Danilo</v>
          </cell>
        </row>
        <row r="39">
          <cell r="AS39">
            <v>1</v>
          </cell>
        </row>
        <row r="39">
          <cell r="BS39" t="str">
            <v>Residential</v>
          </cell>
          <cell r="BT39" t="str">
            <v>Structure Owner</v>
          </cell>
        </row>
        <row r="39">
          <cell r="JR39" t="str">
            <v>Can Stay</v>
          </cell>
        </row>
        <row r="39">
          <cell r="VV39" t="str">
            <v>isf</v>
          </cell>
        </row>
        <row r="40">
          <cell r="A40" t="str">
            <v>legal</v>
          </cell>
        </row>
        <row r="40">
          <cell r="C40" t="str">
            <v>MC-027</v>
          </cell>
        </row>
        <row r="40">
          <cell r="E40" t="str">
            <v>77 Catmon, Malolos Bulacan</v>
          </cell>
        </row>
        <row r="40">
          <cell r="T40" t="str">
            <v>Bagtas, Enrique Castillo</v>
          </cell>
        </row>
        <row r="40">
          <cell r="AS40">
            <v>0.0685446009389671</v>
          </cell>
        </row>
        <row r="40">
          <cell r="BS40" t="str">
            <v>Commercial</v>
          </cell>
          <cell r="BT40" t="str">
            <v>Structure Owner</v>
          </cell>
        </row>
        <row r="40">
          <cell r="JR40" t="str">
            <v>Need Displacement</v>
          </cell>
        </row>
        <row r="40">
          <cell r="VV40" t="str">
            <v>legal</v>
          </cell>
        </row>
        <row r="41">
          <cell r="A41" t="str">
            <v>legal</v>
          </cell>
        </row>
        <row r="41">
          <cell r="C41" t="str">
            <v>MC-028</v>
          </cell>
        </row>
        <row r="41">
          <cell r="E41" t="str">
            <v>77 Catmon, Malolos Bulacan</v>
          </cell>
        </row>
        <row r="41">
          <cell r="T41" t="str">
            <v>Bagtas, Enrique</v>
          </cell>
        </row>
        <row r="41">
          <cell r="AS41">
            <v>0.222453051643192</v>
          </cell>
        </row>
        <row r="41">
          <cell r="BS41" t="str">
            <v>Residential</v>
          </cell>
          <cell r="BT41" t="str">
            <v>Structure Owner</v>
          </cell>
        </row>
        <row r="41">
          <cell r="JR41" t="str">
            <v>Need Displacement</v>
          </cell>
        </row>
        <row r="41">
          <cell r="VV41" t="str">
            <v>legal</v>
          </cell>
        </row>
        <row r="42">
          <cell r="A42" t="str">
            <v>legal-r-40</v>
          </cell>
        </row>
        <row r="42">
          <cell r="C42" t="str">
            <v>MC-028</v>
          </cell>
        </row>
        <row r="42">
          <cell r="E42" t="str">
            <v>77 Catmon, Malolos Bulacan</v>
          </cell>
        </row>
        <row r="42">
          <cell r="T42" t="str">
            <v>Bagtas, Enrique</v>
          </cell>
        </row>
        <row r="42">
          <cell r="BS42" t="str">
            <v>Residential</v>
          </cell>
          <cell r="BT42" t="str">
            <v>Structure Renter</v>
          </cell>
        </row>
        <row r="42">
          <cell r="JP42">
            <v>700</v>
          </cell>
        </row>
        <row r="42">
          <cell r="JR42" t="str">
            <v>Need Displacement</v>
          </cell>
        </row>
        <row r="43">
          <cell r="A43" t="str">
            <v>legal</v>
          </cell>
        </row>
        <row r="43">
          <cell r="C43" t="str">
            <v>MC-029</v>
          </cell>
        </row>
        <row r="43">
          <cell r="E43" t="str">
            <v>Catmon, Malolos Bulacan</v>
          </cell>
        </row>
        <row r="43">
          <cell r="BS43" t="str">
            <v>Commercial</v>
          </cell>
          <cell r="BT43" t="str">
            <v>Structure Owner</v>
          </cell>
        </row>
        <row r="43">
          <cell r="JR43" t="str">
            <v>Need Displacement</v>
          </cell>
        </row>
        <row r="43">
          <cell r="VV43" t="str">
            <v>legal</v>
          </cell>
        </row>
        <row r="44">
          <cell r="A44" t="str">
            <v>legal 43</v>
          </cell>
        </row>
        <row r="44">
          <cell r="C44" t="str">
            <v>MC-030</v>
          </cell>
        </row>
        <row r="44">
          <cell r="E44" t="str">
            <v>Catmon, Malolos Bulacan</v>
          </cell>
        </row>
        <row r="44">
          <cell r="BS44" t="str">
            <v>Residential</v>
          </cell>
          <cell r="BT44" t="str">
            <v>Structure Owner</v>
          </cell>
        </row>
        <row r="44">
          <cell r="JR44" t="str">
            <v>Need Displacement</v>
          </cell>
        </row>
        <row r="44">
          <cell r="VV44" t="str">
            <v>legal 43</v>
          </cell>
        </row>
        <row r="45">
          <cell r="A45" t="str">
            <v>legal 43</v>
          </cell>
        </row>
        <row r="45">
          <cell r="C45" t="str">
            <v>MC-030</v>
          </cell>
        </row>
        <row r="45">
          <cell r="E45" t="str">
            <v>Catmon, Malolos Bulacan</v>
          </cell>
        </row>
        <row r="45">
          <cell r="T45" t="str">
            <v>Avila, Victoria Boncac</v>
          </cell>
        </row>
        <row r="45">
          <cell r="BS45" t="str">
            <v>Residential</v>
          </cell>
          <cell r="BT45" t="str">
            <v>Sharer</v>
          </cell>
        </row>
        <row r="45">
          <cell r="JR45" t="str">
            <v>Need Displacement</v>
          </cell>
        </row>
        <row r="45">
          <cell r="VV45" t="str">
            <v>legal 43</v>
          </cell>
        </row>
        <row r="46">
          <cell r="A46" t="str">
            <v>legal</v>
          </cell>
        </row>
        <row r="46">
          <cell r="C46" t="str">
            <v>MC-031</v>
          </cell>
        </row>
        <row r="46">
          <cell r="E46" t="str">
            <v>71 Catmon Malolos Bulacan</v>
          </cell>
        </row>
        <row r="46">
          <cell r="AS46">
            <v>0.0684545454545455</v>
          </cell>
        </row>
        <row r="46">
          <cell r="BS46" t="str">
            <v>Residential</v>
          </cell>
          <cell r="BT46" t="str">
            <v>Land Owner</v>
          </cell>
        </row>
        <row r="46">
          <cell r="VV46" t="str">
            <v>legal</v>
          </cell>
        </row>
        <row r="47">
          <cell r="A47" t="str">
            <v>legal 46</v>
          </cell>
        </row>
        <row r="47">
          <cell r="C47" t="str">
            <v>MC-031</v>
          </cell>
        </row>
        <row r="47">
          <cell r="E47" t="str">
            <v>71 Catmon Malolos Bulacan</v>
          </cell>
        </row>
        <row r="47">
          <cell r="T47" t="str">
            <v>Natividad, Lydia</v>
          </cell>
        </row>
        <row r="47">
          <cell r="BS47" t="str">
            <v>Residential</v>
          </cell>
          <cell r="BT47" t="str">
            <v>Structure Owner</v>
          </cell>
        </row>
        <row r="47">
          <cell r="JR47" t="str">
            <v>Can Stay</v>
          </cell>
        </row>
        <row r="47">
          <cell r="VV47" t="str">
            <v>legal 46</v>
          </cell>
        </row>
        <row r="48">
          <cell r="A48" t="str">
            <v>legal 46</v>
          </cell>
        </row>
        <row r="48">
          <cell r="C48" t="str">
            <v>MC-032</v>
          </cell>
        </row>
        <row r="48">
          <cell r="E48" t="str">
            <v>Brgy. Catmon Malolos Bulacan</v>
          </cell>
        </row>
        <row r="48">
          <cell r="T48" t="str">
            <v>Capili, Lolito Sunga</v>
          </cell>
        </row>
        <row r="48">
          <cell r="BS48" t="str">
            <v>Residential</v>
          </cell>
          <cell r="BT48" t="str">
            <v>Structure Owner</v>
          </cell>
        </row>
        <row r="48">
          <cell r="JR48" t="str">
            <v>Need Displacement</v>
          </cell>
        </row>
        <row r="48">
          <cell r="VV48" t="str">
            <v>legal 46</v>
          </cell>
        </row>
        <row r="49">
          <cell r="A49" t="str">
            <v>legal</v>
          </cell>
        </row>
        <row r="49">
          <cell r="C49" t="str">
            <v>MC-033</v>
          </cell>
        </row>
        <row r="49">
          <cell r="E49" t="str">
            <v>Brgy. Catmon Malolos Bulacan</v>
          </cell>
        </row>
        <row r="49">
          <cell r="AS49">
            <v>0.233333333333333</v>
          </cell>
        </row>
        <row r="49">
          <cell r="BS49" t="str">
            <v>Residential</v>
          </cell>
          <cell r="BT49" t="str">
            <v>Land Owner</v>
          </cell>
        </row>
        <row r="49">
          <cell r="VV49" t="str">
            <v>legal</v>
          </cell>
        </row>
        <row r="50">
          <cell r="A50" t="str">
            <v>legal 49</v>
          </cell>
        </row>
        <row r="50">
          <cell r="C50" t="str">
            <v>MC-033</v>
          </cell>
        </row>
        <row r="50">
          <cell r="E50" t="str">
            <v>Brgy. Catmon Malolos Bulacan</v>
          </cell>
        </row>
        <row r="50">
          <cell r="T50" t="str">
            <v>Pagaduan,Lito Pedrona</v>
          </cell>
        </row>
        <row r="50">
          <cell r="BS50" t="str">
            <v>Residential</v>
          </cell>
          <cell r="BT50" t="str">
            <v>Structure Owner</v>
          </cell>
        </row>
        <row r="50">
          <cell r="JR50" t="str">
            <v>Can Stay</v>
          </cell>
        </row>
        <row r="50">
          <cell r="VV50" t="str">
            <v>legal 49</v>
          </cell>
        </row>
        <row r="51">
          <cell r="A51" t="str">
            <v>legal</v>
          </cell>
        </row>
        <row r="51">
          <cell r="C51" t="str">
            <v>MC-034</v>
          </cell>
        </row>
        <row r="51">
          <cell r="E51" t="str">
            <v>Brgy. Catmon Malolos Bulacan</v>
          </cell>
        </row>
        <row r="51">
          <cell r="AS51">
            <v>0.329166666666667</v>
          </cell>
        </row>
        <row r="51">
          <cell r="BS51" t="str">
            <v>Residential</v>
          </cell>
          <cell r="BT51" t="str">
            <v>Land Owner</v>
          </cell>
        </row>
        <row r="51">
          <cell r="VV51" t="str">
            <v>legal</v>
          </cell>
        </row>
        <row r="52">
          <cell r="A52" t="str">
            <v>legal 51</v>
          </cell>
        </row>
        <row r="52">
          <cell r="C52" t="str">
            <v>MC-034</v>
          </cell>
        </row>
        <row r="52">
          <cell r="E52" t="str">
            <v>Brgy. Catmon Malolos Bulacan</v>
          </cell>
        </row>
        <row r="52">
          <cell r="T52" t="str">
            <v>Lappay, Arturo</v>
          </cell>
        </row>
        <row r="52">
          <cell r="BS52" t="str">
            <v>Residential</v>
          </cell>
          <cell r="BT52" t="str">
            <v>Structure Owner</v>
          </cell>
        </row>
        <row r="52">
          <cell r="JR52" t="str">
            <v>Need Displacement</v>
          </cell>
        </row>
        <row r="52">
          <cell r="VV52" t="str">
            <v>legal 51</v>
          </cell>
        </row>
        <row r="53">
          <cell r="A53" t="str">
            <v>legal</v>
          </cell>
        </row>
        <row r="53">
          <cell r="C53" t="str">
            <v>MC-040</v>
          </cell>
        </row>
        <row r="53">
          <cell r="E53" t="str">
            <v>27 Paseo Del Congreso Catmon Malolos Bulacan</v>
          </cell>
        </row>
        <row r="53">
          <cell r="T53" t="str">
            <v>Lagman, Joaquin</v>
          </cell>
        </row>
        <row r="53">
          <cell r="AS53">
            <v>0.319604612850082</v>
          </cell>
        </row>
        <row r="53">
          <cell r="BS53" t="str">
            <v>Residential</v>
          </cell>
          <cell r="BT53" t="str">
            <v>Structure Owner</v>
          </cell>
        </row>
        <row r="53">
          <cell r="VV53" t="str">
            <v>legal</v>
          </cell>
        </row>
        <row r="54">
          <cell r="A54" t="str">
            <v>legal 53</v>
          </cell>
        </row>
        <row r="54">
          <cell r="C54" t="str">
            <v>MC-035</v>
          </cell>
        </row>
        <row r="54">
          <cell r="E54" t="str">
            <v>Catmon Malolos Bulacan</v>
          </cell>
        </row>
        <row r="54">
          <cell r="T54" t="str">
            <v>David, Agusto Santos</v>
          </cell>
        </row>
        <row r="54">
          <cell r="BS54" t="str">
            <v>Residential</v>
          </cell>
          <cell r="BT54" t="str">
            <v>Structure Owner</v>
          </cell>
        </row>
        <row r="54">
          <cell r="JR54" t="str">
            <v>Need Displacement</v>
          </cell>
        </row>
        <row r="54">
          <cell r="VV54" t="str">
            <v>legal 53</v>
          </cell>
        </row>
        <row r="55">
          <cell r="A55" t="str">
            <v>legal 53</v>
          </cell>
        </row>
        <row r="55">
          <cell r="C55" t="str">
            <v>MC-036</v>
          </cell>
        </row>
        <row r="55">
          <cell r="E55" t="str">
            <v>Catmon Malolos Bulacan</v>
          </cell>
        </row>
        <row r="55">
          <cell r="T55" t="str">
            <v>Laroza, Carlito</v>
          </cell>
        </row>
        <row r="55">
          <cell r="BS55" t="str">
            <v>Residential</v>
          </cell>
          <cell r="BT55" t="str">
            <v>Structure Owner</v>
          </cell>
        </row>
        <row r="55">
          <cell r="VV55" t="str">
            <v>legal 53</v>
          </cell>
        </row>
        <row r="56">
          <cell r="A56" t="str">
            <v>legal 53</v>
          </cell>
        </row>
        <row r="56">
          <cell r="C56" t="str">
            <v>MC-037</v>
          </cell>
        </row>
        <row r="56">
          <cell r="E56" t="str">
            <v>Valenzuela St., Catmon Malolos Bulacan</v>
          </cell>
        </row>
        <row r="56">
          <cell r="T56" t="str">
            <v>Gabejan, Romeo Jabon</v>
          </cell>
        </row>
        <row r="56">
          <cell r="BS56" t="str">
            <v>Residential</v>
          </cell>
          <cell r="BT56" t="str">
            <v>Land Lessee</v>
          </cell>
        </row>
        <row r="56">
          <cell r="VV56" t="str">
            <v>legal 53</v>
          </cell>
        </row>
        <row r="57">
          <cell r="A57" t="str">
            <v>legal 53</v>
          </cell>
        </row>
        <row r="57">
          <cell r="C57" t="str">
            <v>MC-038</v>
          </cell>
        </row>
        <row r="57">
          <cell r="E57" t="str">
            <v>Brgy. Catmon Malolos Bulacan</v>
          </cell>
        </row>
        <row r="57">
          <cell r="T57" t="str">
            <v>Jalos, Eumarvin</v>
          </cell>
        </row>
        <row r="57">
          <cell r="BS57" t="str">
            <v>Residential</v>
          </cell>
          <cell r="BT57" t="str">
            <v>Structure Owner</v>
          </cell>
        </row>
        <row r="57">
          <cell r="VV57" t="str">
            <v>legal 53</v>
          </cell>
        </row>
        <row r="58">
          <cell r="A58" t="str">
            <v>legal 53</v>
          </cell>
        </row>
        <row r="58">
          <cell r="C58" t="str">
            <v>MC-039</v>
          </cell>
        </row>
        <row r="58">
          <cell r="E58" t="str">
            <v>Brgy. Catmon Malolos Bulacan</v>
          </cell>
        </row>
        <row r="58">
          <cell r="T58" t="str">
            <v>Caluag, Renante</v>
          </cell>
        </row>
        <row r="58">
          <cell r="BS58" t="str">
            <v>Residential</v>
          </cell>
          <cell r="BT58" t="str">
            <v>Structure Owner</v>
          </cell>
        </row>
        <row r="58">
          <cell r="JR58" t="str">
            <v>Need Displacement</v>
          </cell>
        </row>
        <row r="58">
          <cell r="VV58" t="str">
            <v>legal 53</v>
          </cell>
        </row>
        <row r="59">
          <cell r="A59" t="str">
            <v>legal</v>
          </cell>
        </row>
        <row r="59">
          <cell r="C59" t="str">
            <v>MC-041</v>
          </cell>
        </row>
        <row r="59">
          <cell r="E59" t="str">
            <v>I Amethyst St., Capitol View Park Subd., Malolos Bulacan</v>
          </cell>
        </row>
        <row r="59">
          <cell r="T59" t="str">
            <v>Pawa, Suresh Kumar</v>
          </cell>
        </row>
        <row r="59">
          <cell r="AS59">
            <v>0.0371610169491525</v>
          </cell>
        </row>
        <row r="59">
          <cell r="BS59" t="str">
            <v>Residential</v>
          </cell>
          <cell r="BT59" t="str">
            <v>Structure Owner</v>
          </cell>
        </row>
        <row r="59">
          <cell r="JR59" t="str">
            <v>Need Displacement</v>
          </cell>
        </row>
        <row r="59">
          <cell r="VV59" t="str">
            <v>legal</v>
          </cell>
        </row>
        <row r="60">
          <cell r="A60" t="str">
            <v>legal</v>
          </cell>
        </row>
        <row r="60">
          <cell r="C60" t="str">
            <v>MC-042</v>
          </cell>
        </row>
        <row r="60">
          <cell r="E60" t="str">
            <v>I Amethyst St., Capitol View Park Subd., Malolos Bulacan</v>
          </cell>
        </row>
        <row r="60">
          <cell r="AS60">
            <v>0.0616666666666667</v>
          </cell>
        </row>
        <row r="60">
          <cell r="BS60" t="str">
            <v>Residential</v>
          </cell>
          <cell r="BT60" t="str">
            <v>Structure Owner</v>
          </cell>
        </row>
        <row r="60">
          <cell r="VV60" t="str">
            <v>legal</v>
          </cell>
        </row>
        <row r="61">
          <cell r="A61" t="str">
            <v>legal</v>
          </cell>
        </row>
        <row r="61">
          <cell r="C61" t="str">
            <v>MC-043</v>
          </cell>
        </row>
        <row r="61">
          <cell r="E61" t="str">
            <v>I Amethyst St., Capitol View Park Subd., Malolos Bulacan</v>
          </cell>
        </row>
        <row r="61">
          <cell r="AS61">
            <v>0.0288065843621399</v>
          </cell>
        </row>
        <row r="61">
          <cell r="BS61" t="str">
            <v>Residential</v>
          </cell>
          <cell r="BT61" t="str">
            <v>Structure Owner</v>
          </cell>
        </row>
        <row r="61">
          <cell r="VV61" t="str">
            <v>legal</v>
          </cell>
        </row>
        <row r="62">
          <cell r="A62" t="str">
            <v>legal</v>
          </cell>
        </row>
        <row r="62">
          <cell r="C62" t="str">
            <v>MC-044</v>
          </cell>
        </row>
        <row r="62">
          <cell r="E62" t="str">
            <v>I Amethyst St., Capitol View Park Subd., Malolos Bulacan</v>
          </cell>
        </row>
        <row r="62">
          <cell r="AS62">
            <v>0.0257510729613734</v>
          </cell>
        </row>
        <row r="62">
          <cell r="BS62" t="str">
            <v>Residential</v>
          </cell>
          <cell r="BT62" t="str">
            <v>Structure Owner</v>
          </cell>
        </row>
        <row r="62">
          <cell r="VV62" t="str">
            <v>legal</v>
          </cell>
        </row>
        <row r="63">
          <cell r="A63" t="str">
            <v>legal</v>
          </cell>
        </row>
        <row r="63">
          <cell r="C63" t="str">
            <v>MC-045</v>
          </cell>
        </row>
        <row r="63">
          <cell r="E63" t="str">
            <v>Capitol View Park Subd., Malolos Bulacan</v>
          </cell>
        </row>
        <row r="63">
          <cell r="T63" t="str">
            <v>De Leon Mirriam Pulumbarit</v>
          </cell>
        </row>
        <row r="63">
          <cell r="AS63">
            <v>0.125</v>
          </cell>
        </row>
        <row r="63">
          <cell r="BS63" t="str">
            <v>Residential</v>
          </cell>
          <cell r="BT63" t="str">
            <v>Structure Owner</v>
          </cell>
        </row>
        <row r="63">
          <cell r="VV63" t="str">
            <v>legal</v>
          </cell>
        </row>
        <row r="64">
          <cell r="A64" t="str">
            <v>legal</v>
          </cell>
        </row>
        <row r="64">
          <cell r="C64" t="str">
            <v>MC-046</v>
          </cell>
        </row>
        <row r="64">
          <cell r="E64" t="str">
            <v>Capitol View Park Subd., Malolos Bulacan</v>
          </cell>
        </row>
        <row r="64">
          <cell r="BS64" t="str">
            <v>Residential</v>
          </cell>
          <cell r="BT64" t="str">
            <v>Land Owner</v>
          </cell>
        </row>
        <row r="64">
          <cell r="VV64" t="str">
            <v>legal</v>
          </cell>
        </row>
        <row r="65">
          <cell r="A65" t="str">
            <v>legal</v>
          </cell>
        </row>
        <row r="65">
          <cell r="C65" t="str">
            <v>MC-047</v>
          </cell>
        </row>
        <row r="65">
          <cell r="E65" t="str">
            <v>Capitol View Park Subd., Malolos Bulacan</v>
          </cell>
        </row>
        <row r="65">
          <cell r="T65" t="str">
            <v>Alongalay, Renato Nobles</v>
          </cell>
        </row>
        <row r="65">
          <cell r="AS65">
            <v>0.0535</v>
          </cell>
        </row>
        <row r="65">
          <cell r="BS65" t="str">
            <v>Residential</v>
          </cell>
          <cell r="BT65" t="str">
            <v>Structure Owner</v>
          </cell>
        </row>
        <row r="65">
          <cell r="VV65" t="str">
            <v>legal</v>
          </cell>
        </row>
        <row r="66">
          <cell r="A66" t="str">
            <v>legal</v>
          </cell>
        </row>
        <row r="66">
          <cell r="C66" t="str">
            <v>GG-000.1</v>
          </cell>
        </row>
        <row r="66">
          <cell r="E66" t="str">
            <v>Poblacion, Guiguinto Bulacan</v>
          </cell>
        </row>
        <row r="66">
          <cell r="AS66">
            <v>0.686852781039821</v>
          </cell>
        </row>
        <row r="66">
          <cell r="BS66" t="str">
            <v>Institutional</v>
          </cell>
          <cell r="BT66" t="str">
            <v>Structure Owner</v>
          </cell>
        </row>
        <row r="66">
          <cell r="JR66" t="str">
            <v>Need Displacement</v>
          </cell>
        </row>
        <row r="66">
          <cell r="VV66" t="str">
            <v>legal</v>
          </cell>
        </row>
        <row r="67">
          <cell r="A67" t="str">
            <v>legal</v>
          </cell>
        </row>
        <row r="67">
          <cell r="C67" t="str">
            <v>GG-000.2</v>
          </cell>
        </row>
        <row r="67">
          <cell r="E67" t="str">
            <v>Poblacion, Guiguinto Bulacan</v>
          </cell>
        </row>
        <row r="67">
          <cell r="AS67">
            <v>0.12</v>
          </cell>
        </row>
        <row r="67">
          <cell r="BS67" t="str">
            <v>Institutional</v>
          </cell>
          <cell r="BT67" t="str">
            <v>Structure Owner</v>
          </cell>
        </row>
        <row r="67">
          <cell r="VV67" t="str">
            <v>legal</v>
          </cell>
        </row>
        <row r="68">
          <cell r="A68" t="str">
            <v>isf</v>
          </cell>
        </row>
        <row r="68">
          <cell r="C68" t="str">
            <v>GG-001</v>
          </cell>
        </row>
        <row r="68">
          <cell r="E68" t="str">
            <v>Ugong, Tuktukan, Guiguinto,Bulacan</v>
          </cell>
        </row>
        <row r="68">
          <cell r="T68" t="str">
            <v>Magdaraog,Billy Mercado</v>
          </cell>
        </row>
        <row r="68">
          <cell r="AS68">
            <v>1</v>
          </cell>
        </row>
        <row r="68">
          <cell r="BS68" t="str">
            <v>Residential</v>
          </cell>
          <cell r="BT68" t="str">
            <v>Structure Owner</v>
          </cell>
        </row>
        <row r="68">
          <cell r="JP68">
            <v>1200</v>
          </cell>
        </row>
        <row r="68">
          <cell r="JR68" t="str">
            <v>Need Displacement</v>
          </cell>
        </row>
        <row r="68">
          <cell r="KI68" t="str">
            <v>Relocation</v>
          </cell>
        </row>
        <row r="69">
          <cell r="A69" t="str">
            <v>isf</v>
          </cell>
        </row>
        <row r="69">
          <cell r="C69" t="str">
            <v>GG-001B</v>
          </cell>
        </row>
        <row r="69">
          <cell r="E69" t="str">
            <v>Ugong, Tuktukan, Guiguinto,Bulacan</v>
          </cell>
        </row>
        <row r="69">
          <cell r="T69" t="str">
            <v>Zarate, Miguel M.</v>
          </cell>
        </row>
        <row r="69">
          <cell r="AS69">
            <v>1</v>
          </cell>
        </row>
        <row r="69">
          <cell r="BS69" t="str">
            <v>Residential</v>
          </cell>
          <cell r="BT69" t="str">
            <v>Structure Owner</v>
          </cell>
        </row>
        <row r="69">
          <cell r="JP69" t="str">
            <v>none</v>
          </cell>
        </row>
        <row r="69">
          <cell r="JR69" t="str">
            <v>Need Displacement</v>
          </cell>
        </row>
        <row r="69">
          <cell r="KI69" t="str">
            <v>Relocation</v>
          </cell>
        </row>
        <row r="69">
          <cell r="KL69" t="str">
            <v>NorthVille 7, Brgy. Malis, Guiguinto Bulacan</v>
          </cell>
        </row>
        <row r="69">
          <cell r="KQ69" t="str">
            <v>x</v>
          </cell>
          <cell r="KR69" t="str">
            <v>x</v>
          </cell>
        </row>
        <row r="69">
          <cell r="KV69" t="str">
            <v>x</v>
          </cell>
        </row>
        <row r="69">
          <cell r="KX69" t="str">
            <v>Y</v>
          </cell>
        </row>
        <row r="69">
          <cell r="LA69" t="str">
            <v>x</v>
          </cell>
          <cell r="LB69" t="str">
            <v>x</v>
          </cell>
          <cell r="LC69" t="str">
            <v>x</v>
          </cell>
        </row>
        <row r="69">
          <cell r="LE69" t="str">
            <v>x</v>
          </cell>
          <cell r="LF69" t="str">
            <v>x</v>
          </cell>
        </row>
        <row r="70">
          <cell r="A70" t="str">
            <v>isf</v>
          </cell>
        </row>
        <row r="70">
          <cell r="C70" t="str">
            <v>GG-002A</v>
          </cell>
        </row>
        <row r="70">
          <cell r="E70" t="str">
            <v>Ugong, Tuktukan, Guiguinto,Bulacan</v>
          </cell>
        </row>
        <row r="70">
          <cell r="T70" t="str">
            <v>Lobetaña, Benjamin A.</v>
          </cell>
        </row>
        <row r="70">
          <cell r="AS70">
            <v>1</v>
          </cell>
        </row>
        <row r="70">
          <cell r="BS70" t="str">
            <v>Mixed use</v>
          </cell>
          <cell r="BT70" t="str">
            <v>Structure Owner</v>
          </cell>
        </row>
        <row r="70">
          <cell r="JP70" t="str">
            <v>none</v>
          </cell>
        </row>
        <row r="70">
          <cell r="JR70" t="str">
            <v>Need Displacement</v>
          </cell>
        </row>
        <row r="70">
          <cell r="KI70" t="str">
            <v>Cash Compensation/ Balik Probinsiya Program</v>
          </cell>
        </row>
        <row r="71">
          <cell r="A71" t="str">
            <v>legal</v>
          </cell>
        </row>
        <row r="71">
          <cell r="C71" t="str">
            <v>GG-003</v>
          </cell>
        </row>
        <row r="71">
          <cell r="E71" t="str">
            <v>Tuktukan, Guiguinto,Bulacan</v>
          </cell>
        </row>
        <row r="71">
          <cell r="AS71">
            <v>0.0545019920318725</v>
          </cell>
        </row>
        <row r="71">
          <cell r="BS71" t="str">
            <v>Industrial</v>
          </cell>
          <cell r="BT71" t="str">
            <v>Structure Owner</v>
          </cell>
        </row>
        <row r="71">
          <cell r="VV71" t="str">
            <v>legal</v>
          </cell>
        </row>
        <row r="72">
          <cell r="A72" t="str">
            <v>isf</v>
          </cell>
        </row>
        <row r="72">
          <cell r="C72" t="str">
            <v>GG-006</v>
          </cell>
        </row>
        <row r="72">
          <cell r="E72" t="str">
            <v>960 Sna Agustin St., Tuktukan Guinguinto Bulacan</v>
          </cell>
        </row>
        <row r="72">
          <cell r="T72" t="str">
            <v>Dela Cruz, Manuel Mendoza</v>
          </cell>
        </row>
        <row r="72">
          <cell r="AS72">
            <v>0.08</v>
          </cell>
        </row>
        <row r="72">
          <cell r="BS72" t="str">
            <v>Commercial</v>
          </cell>
          <cell r="BT72" t="str">
            <v>Structure Owner</v>
          </cell>
        </row>
        <row r="72">
          <cell r="JR72" t="str">
            <v>Need Displacement</v>
          </cell>
        </row>
        <row r="72">
          <cell r="VV72" t="str">
            <v>isf</v>
          </cell>
        </row>
        <row r="73">
          <cell r="A73" t="str">
            <v>legal</v>
          </cell>
        </row>
        <row r="73">
          <cell r="C73" t="str">
            <v>GG-007</v>
          </cell>
        </row>
        <row r="73">
          <cell r="E73" t="str">
            <v>Brgy. Maunlad Sta. Cruz Guiguinto Bulacan</v>
          </cell>
        </row>
        <row r="73">
          <cell r="AS73">
            <v>0.0666399036531513</v>
          </cell>
        </row>
        <row r="73">
          <cell r="BS73" t="str">
            <v>Residential</v>
          </cell>
          <cell r="BT73" t="str">
            <v>Land Owner</v>
          </cell>
        </row>
        <row r="73">
          <cell r="VV73" t="str">
            <v>legal</v>
          </cell>
        </row>
        <row r="74">
          <cell r="A74" t="str">
            <v>legal 73</v>
          </cell>
        </row>
        <row r="74">
          <cell r="C74" t="str">
            <v>GG-007.1</v>
          </cell>
        </row>
        <row r="74">
          <cell r="E74" t="str">
            <v>Brgy. Maunlad Sta. Cruz Guiguinto Bulacan</v>
          </cell>
        </row>
        <row r="74">
          <cell r="T74" t="str">
            <v>Pabiloña Jr, Angel Vivas</v>
          </cell>
        </row>
        <row r="74">
          <cell r="BS74" t="str">
            <v>Residential</v>
          </cell>
          <cell r="BT74" t="str">
            <v>Structure Owner</v>
          </cell>
        </row>
        <row r="74">
          <cell r="JR74" t="str">
            <v>Need Displacement</v>
          </cell>
        </row>
        <row r="75">
          <cell r="A75" t="str">
            <v>legal</v>
          </cell>
        </row>
        <row r="75">
          <cell r="C75" t="str">
            <v>GG-007</v>
          </cell>
        </row>
        <row r="75">
          <cell r="E75" t="str">
            <v>Tabang Guiguinto Bulacan</v>
          </cell>
        </row>
        <row r="75">
          <cell r="AS75">
            <v>0.039675</v>
          </cell>
        </row>
        <row r="75">
          <cell r="BS75" t="str">
            <v>Industrial</v>
          </cell>
          <cell r="BT75" t="str">
            <v>Structure Owner</v>
          </cell>
        </row>
        <row r="75">
          <cell r="VV75" t="str">
            <v>legal</v>
          </cell>
        </row>
        <row r="76">
          <cell r="A76" t="str">
            <v>legal 75</v>
          </cell>
        </row>
        <row r="76">
          <cell r="C76" t="str">
            <v>GG-008</v>
          </cell>
        </row>
        <row r="76">
          <cell r="E76" t="str">
            <v>Tabang Guiguinto Bulacan</v>
          </cell>
        </row>
        <row r="76">
          <cell r="BS76" t="str">
            <v>Industrial</v>
          </cell>
          <cell r="BT76" t="str">
            <v>Structure Owner</v>
          </cell>
        </row>
        <row r="76">
          <cell r="JR76" t="str">
            <v>Need Displacement</v>
          </cell>
        </row>
        <row r="76">
          <cell r="VV76" t="str">
            <v>legal 75</v>
          </cell>
        </row>
        <row r="77">
          <cell r="A77" t="str">
            <v>legal 75</v>
          </cell>
        </row>
        <row r="77">
          <cell r="C77" t="str">
            <v>GG-008A</v>
          </cell>
        </row>
        <row r="77">
          <cell r="E77" t="str">
            <v>Tabang Guiguinto Bulacan</v>
          </cell>
        </row>
        <row r="77">
          <cell r="BS77" t="str">
            <v>Industrial</v>
          </cell>
          <cell r="BT77" t="str">
            <v>Structure Owner</v>
          </cell>
        </row>
        <row r="77">
          <cell r="JR77" t="str">
            <v>Need Displacement</v>
          </cell>
        </row>
        <row r="77">
          <cell r="VV77" t="str">
            <v>legal 75</v>
          </cell>
        </row>
        <row r="78">
          <cell r="A78" t="str">
            <v>legal</v>
          </cell>
        </row>
        <row r="78">
          <cell r="C78" t="str">
            <v>GG-009A</v>
          </cell>
        </row>
        <row r="78">
          <cell r="E78" t="str">
            <v>Regional Training Center, TESDA Tabang , Guiguinto, Bulacan</v>
          </cell>
        </row>
        <row r="78">
          <cell r="AS78">
            <v>0.022</v>
          </cell>
        </row>
        <row r="78">
          <cell r="BS78" t="str">
            <v>Institutional</v>
          </cell>
          <cell r="BT78" t="str">
            <v>Structure Owner</v>
          </cell>
        </row>
        <row r="78">
          <cell r="JR78" t="str">
            <v>Need Displacement</v>
          </cell>
        </row>
        <row r="78">
          <cell r="VV78" t="str">
            <v>legal</v>
          </cell>
        </row>
        <row r="79">
          <cell r="A79" t="str">
            <v>legal 77</v>
          </cell>
        </row>
        <row r="79">
          <cell r="C79" t="str">
            <v>GG-009B</v>
          </cell>
        </row>
        <row r="79">
          <cell r="E79" t="str">
            <v>Regional Training Center, TESDA Tabang , Guiguinto, Bulacan</v>
          </cell>
        </row>
        <row r="79">
          <cell r="BS79" t="str">
            <v>Institutional</v>
          </cell>
          <cell r="BT79" t="str">
            <v>Structure Owner</v>
          </cell>
        </row>
        <row r="79">
          <cell r="JR79" t="str">
            <v>Need Displacement</v>
          </cell>
        </row>
        <row r="79">
          <cell r="VV79" t="str">
            <v>legal 77</v>
          </cell>
        </row>
        <row r="80">
          <cell r="A80" t="str">
            <v>legal 77</v>
          </cell>
        </row>
        <row r="80">
          <cell r="C80" t="str">
            <v>GG-009C</v>
          </cell>
        </row>
        <row r="80">
          <cell r="E80" t="str">
            <v>Regional Training Center, TESDA Tabang , Guiguinto, Bulacan</v>
          </cell>
        </row>
        <row r="80">
          <cell r="BS80" t="str">
            <v>Institutional</v>
          </cell>
          <cell r="BT80" t="str">
            <v>Structure Owner</v>
          </cell>
        </row>
        <row r="80">
          <cell r="JR80" t="str">
            <v>Need Displacement</v>
          </cell>
        </row>
        <row r="80">
          <cell r="VV80" t="str">
            <v>legal 77</v>
          </cell>
        </row>
        <row r="81">
          <cell r="A81" t="str">
            <v>legal</v>
          </cell>
        </row>
        <row r="81">
          <cell r="C81" t="str">
            <v>GG-010</v>
          </cell>
        </row>
        <row r="81">
          <cell r="E81" t="str">
            <v>HACC, Tabang, Guiguinto</v>
          </cell>
        </row>
        <row r="81">
          <cell r="AS81">
            <v>0.694444444444444</v>
          </cell>
        </row>
        <row r="81">
          <cell r="BS81" t="str">
            <v>Institutional</v>
          </cell>
          <cell r="BT81" t="str">
            <v>Structure Owner</v>
          </cell>
        </row>
        <row r="81">
          <cell r="VV81" t="str">
            <v>legal</v>
          </cell>
        </row>
        <row r="82">
          <cell r="A82" t="str">
            <v>isf</v>
          </cell>
        </row>
        <row r="82">
          <cell r="C82" t="str">
            <v>GG-011</v>
          </cell>
        </row>
        <row r="82">
          <cell r="E82" t="str">
            <v>HACC, Tabang, Guiguinto</v>
          </cell>
        </row>
        <row r="82">
          <cell r="T82" t="str">
            <v>Lapuz, Antonio Libingting</v>
          </cell>
        </row>
        <row r="82">
          <cell r="BS82" t="str">
            <v>Residential</v>
          </cell>
          <cell r="BT82" t="str">
            <v>Structure Owner</v>
          </cell>
        </row>
        <row r="82">
          <cell r="JR82" t="str">
            <v>Need Displacement</v>
          </cell>
        </row>
        <row r="82">
          <cell r="KI82" t="str">
            <v>Cash Compensation/ Balik Probinsiya Program</v>
          </cell>
        </row>
        <row r="83">
          <cell r="A83" t="str">
            <v>legal</v>
          </cell>
        </row>
        <row r="83">
          <cell r="C83" t="str">
            <v>GG-013</v>
          </cell>
        </row>
        <row r="83">
          <cell r="E83" t="str">
            <v>Tabang, Guiguinto Bulacan</v>
          </cell>
        </row>
        <row r="83">
          <cell r="T83" t="str">
            <v>Robles, Romana Marcelino</v>
          </cell>
        </row>
        <row r="83">
          <cell r="AS83">
            <v>0.0278025477707006</v>
          </cell>
        </row>
        <row r="83">
          <cell r="BS83" t="str">
            <v>Residential</v>
          </cell>
          <cell r="BT83" t="str">
            <v>Structure Owner</v>
          </cell>
        </row>
        <row r="83">
          <cell r="JR83" t="str">
            <v>Need Displacement</v>
          </cell>
        </row>
        <row r="83">
          <cell r="VV83" t="str">
            <v>legal</v>
          </cell>
        </row>
        <row r="84">
          <cell r="A84" t="str">
            <v>legal-r-83</v>
          </cell>
        </row>
        <row r="84">
          <cell r="C84" t="str">
            <v>GG-013</v>
          </cell>
        </row>
        <row r="84">
          <cell r="E84" t="str">
            <v>Tabang, Guiguinto Bulacan</v>
          </cell>
        </row>
        <row r="84">
          <cell r="T84" t="str">
            <v>Cruz, Renan Ecobia</v>
          </cell>
        </row>
        <row r="84">
          <cell r="BS84" t="str">
            <v>Residential</v>
          </cell>
          <cell r="BT84" t="str">
            <v>Structure Renter</v>
          </cell>
        </row>
        <row r="84">
          <cell r="JP84">
            <v>375</v>
          </cell>
        </row>
        <row r="84">
          <cell r="VV84" t="str">
            <v>legal-r-83</v>
          </cell>
        </row>
        <row r="85">
          <cell r="A85" t="str">
            <v>legal 83</v>
          </cell>
        </row>
        <row r="85">
          <cell r="C85" t="str">
            <v>GG-012</v>
          </cell>
        </row>
        <row r="85">
          <cell r="E85" t="str">
            <v>599 Tabang, Guiguinto Bulacan</v>
          </cell>
        </row>
        <row r="85">
          <cell r="BS85" t="str">
            <v>Residential</v>
          </cell>
          <cell r="BT85" t="str">
            <v>Structure Owner</v>
          </cell>
        </row>
        <row r="85">
          <cell r="JR85" t="str">
            <v>Need Displacement</v>
          </cell>
        </row>
        <row r="85">
          <cell r="VV85" t="str">
            <v>legal 83</v>
          </cell>
        </row>
        <row r="86">
          <cell r="A86" t="str">
            <v>legal</v>
          </cell>
        </row>
        <row r="86">
          <cell r="C86" t="str">
            <v>GG-015</v>
          </cell>
        </row>
        <row r="86">
          <cell r="E86" t="str">
            <v>0869 Tabang Guiguinto Bulacan</v>
          </cell>
        </row>
        <row r="86">
          <cell r="AS86">
            <v>0.011918915106696</v>
          </cell>
        </row>
        <row r="86">
          <cell r="BS86" t="str">
            <v>Residential</v>
          </cell>
          <cell r="BT86" t="str">
            <v>Structure Owner</v>
          </cell>
        </row>
        <row r="86">
          <cell r="JR86" t="str">
            <v>Need Displacement</v>
          </cell>
        </row>
        <row r="86">
          <cell r="VV86" t="str">
            <v>legal</v>
          </cell>
        </row>
        <row r="87">
          <cell r="A87" t="str">
            <v>legal 86</v>
          </cell>
        </row>
        <row r="87">
          <cell r="C87" t="str">
            <v>GG-014</v>
          </cell>
        </row>
        <row r="87">
          <cell r="E87" t="str">
            <v>0868 Tabang, Guiguinto</v>
          </cell>
        </row>
        <row r="87">
          <cell r="BS87" t="str">
            <v>Residential</v>
          </cell>
          <cell r="BT87" t="str">
            <v>Structure Owner</v>
          </cell>
        </row>
        <row r="87">
          <cell r="JR87" t="str">
            <v>Can Stay</v>
          </cell>
        </row>
        <row r="87">
          <cell r="VV87" t="str">
            <v>legal 86</v>
          </cell>
        </row>
        <row r="88">
          <cell r="A88" t="str">
            <v>legal 86</v>
          </cell>
        </row>
        <row r="88">
          <cell r="C88" t="str">
            <v>GG-016</v>
          </cell>
        </row>
        <row r="88">
          <cell r="E88" t="str">
            <v>0870 Tabang Guiguinto Bulacan</v>
          </cell>
        </row>
        <row r="88">
          <cell r="T88" t="str">
            <v>Angeles, Aida Cervantes</v>
          </cell>
        </row>
        <row r="88">
          <cell r="BS88" t="str">
            <v>Residential</v>
          </cell>
          <cell r="BT88" t="str">
            <v>Structure Owner</v>
          </cell>
        </row>
        <row r="88">
          <cell r="JR88" t="str">
            <v>Need Displacement</v>
          </cell>
        </row>
        <row r="89">
          <cell r="A89" t="str">
            <v>legal</v>
          </cell>
        </row>
        <row r="89">
          <cell r="C89" t="str">
            <v>GG-015.1</v>
          </cell>
        </row>
        <row r="89">
          <cell r="E89" t="str">
            <v>805 3rd St., Masagana Hms PH3 Tabang Guiguinto Bulacan</v>
          </cell>
        </row>
        <row r="89">
          <cell r="T89" t="str">
            <v>Maling, Ricardo Morong</v>
          </cell>
        </row>
        <row r="89">
          <cell r="AS89">
            <v>0.0715846994535519</v>
          </cell>
        </row>
        <row r="89">
          <cell r="BS89" t="str">
            <v>Residential</v>
          </cell>
          <cell r="BT89" t="str">
            <v>Structure Owner</v>
          </cell>
        </row>
        <row r="89">
          <cell r="JR89" t="str">
            <v>Can Stay</v>
          </cell>
        </row>
        <row r="89">
          <cell r="VV89" t="str">
            <v>legal</v>
          </cell>
        </row>
        <row r="90">
          <cell r="A90" t="str">
            <v>legal</v>
          </cell>
        </row>
        <row r="90">
          <cell r="C90" t="str">
            <v>GG-015.2</v>
          </cell>
        </row>
        <row r="90">
          <cell r="E90" t="str">
            <v>804 Masagana Hms PH3 Tabang Guiguinto Bulacan</v>
          </cell>
        </row>
        <row r="90">
          <cell r="T90" t="str">
            <v>Morato, Norbeto</v>
          </cell>
        </row>
        <row r="90">
          <cell r="AS90">
            <v>1</v>
          </cell>
        </row>
        <row r="90">
          <cell r="BS90" t="str">
            <v>Residential</v>
          </cell>
          <cell r="BT90" t="str">
            <v>Structure Owner</v>
          </cell>
        </row>
        <row r="90">
          <cell r="VV90" t="str">
            <v>legal</v>
          </cell>
        </row>
        <row r="91">
          <cell r="A91" t="str">
            <v> legal</v>
          </cell>
        </row>
        <row r="91">
          <cell r="C91" t="str">
            <v>GG-015.3</v>
          </cell>
        </row>
        <row r="91">
          <cell r="E91" t="str">
            <v>769 2nd St., Masagana Hms PH3 Tabang Guiguinto Bulacan</v>
          </cell>
        </row>
        <row r="91">
          <cell r="AS91">
            <v>0.0119663028910588</v>
          </cell>
        </row>
        <row r="91">
          <cell r="BS91" t="str">
            <v>Institutional</v>
          </cell>
          <cell r="BT91" t="str">
            <v>Structure Owner</v>
          </cell>
        </row>
        <row r="91">
          <cell r="VV91" t="str">
            <v> legal</v>
          </cell>
        </row>
        <row r="92">
          <cell r="A92" t="str">
            <v>legal 91</v>
          </cell>
        </row>
        <row r="92">
          <cell r="C92" t="str">
            <v>GG-015.3</v>
          </cell>
        </row>
        <row r="92">
          <cell r="E92" t="str">
            <v>769 2nd St., Masagana Hms PH3 Tabang Guiguinto Bulacan</v>
          </cell>
        </row>
        <row r="92">
          <cell r="T92" t="str">
            <v>Lacuna, Milagros Alejandro</v>
          </cell>
        </row>
        <row r="92">
          <cell r="BS92" t="str">
            <v>Institutional</v>
          </cell>
          <cell r="BT92" t="str">
            <v>Institutional Occupant</v>
          </cell>
        </row>
        <row r="92">
          <cell r="JR92" t="str">
            <v>Can Stay</v>
          </cell>
        </row>
        <row r="92">
          <cell r="VV92" t="str">
            <v>legal 91</v>
          </cell>
        </row>
        <row r="93">
          <cell r="A93" t="str">
            <v>legal</v>
          </cell>
        </row>
        <row r="93">
          <cell r="C93" t="str">
            <v>GG-017</v>
          </cell>
        </row>
        <row r="93">
          <cell r="E93" t="str">
            <v>503 San Pedro st., Tuktukan Guiguinto Bulacan</v>
          </cell>
        </row>
        <row r="93">
          <cell r="T93" t="str">
            <v>Mercado, Rolando Estrella</v>
          </cell>
        </row>
        <row r="93">
          <cell r="BS93" t="str">
            <v>Agricultural</v>
          </cell>
          <cell r="BT93" t="str">
            <v>Land Owner</v>
          </cell>
        </row>
        <row r="93">
          <cell r="VV93" t="str">
            <v>legal</v>
          </cell>
        </row>
        <row r="94">
          <cell r="A94" t="str">
            <v>legal 93</v>
          </cell>
        </row>
        <row r="94">
          <cell r="C94" t="str">
            <v>GG-017</v>
          </cell>
        </row>
        <row r="94">
          <cell r="E94" t="str">
            <v>503 San Pedro st., Tuktukan Guiguinto Bulacan</v>
          </cell>
        </row>
        <row r="94">
          <cell r="T94" t="str">
            <v>Mercado, Rolando Estrella</v>
          </cell>
        </row>
        <row r="94">
          <cell r="BS94" t="str">
            <v>Agricultural</v>
          </cell>
          <cell r="BT94" t="str">
            <v>Land Lessee</v>
          </cell>
        </row>
        <row r="94">
          <cell r="VV94" t="str">
            <v>legal 93</v>
          </cell>
        </row>
        <row r="95">
          <cell r="A95" t="str">
            <v>legal 93</v>
          </cell>
        </row>
        <row r="95">
          <cell r="C95" t="str">
            <v>GG-018</v>
          </cell>
        </row>
        <row r="95">
          <cell r="E95" t="str">
            <v>Tuktukan Guiguinto Bulacan</v>
          </cell>
        </row>
        <row r="95">
          <cell r="BS95" t="str">
            <v>Agricultural</v>
          </cell>
          <cell r="BT95" t="str">
            <v>Land Owner</v>
          </cell>
        </row>
        <row r="95">
          <cell r="VV95" t="str">
            <v>legal 93</v>
          </cell>
        </row>
        <row r="96">
          <cell r="A96" t="str">
            <v>legal 93</v>
          </cell>
        </row>
        <row r="96">
          <cell r="C96" t="str">
            <v>GG-019</v>
          </cell>
        </row>
        <row r="96">
          <cell r="E96" t="str">
            <v>Tuktukan Guiguinto Bulacan</v>
          </cell>
        </row>
        <row r="96">
          <cell r="BS96" t="str">
            <v>Agricultural</v>
          </cell>
          <cell r="BT96" t="str">
            <v>Land Owner</v>
          </cell>
        </row>
        <row r="96">
          <cell r="VV96" t="str">
            <v>legal 93</v>
          </cell>
        </row>
        <row r="97">
          <cell r="A97" t="str">
            <v>legal</v>
          </cell>
        </row>
        <row r="97">
          <cell r="C97" t="str">
            <v>BA-001</v>
          </cell>
        </row>
        <row r="97">
          <cell r="E97" t="str">
            <v>Burol I, Balagtas Bulacan</v>
          </cell>
        </row>
        <row r="97">
          <cell r="BS97" t="str">
            <v>Agricultural</v>
          </cell>
          <cell r="BT97" t="str">
            <v>Land Owner</v>
          </cell>
        </row>
        <row r="97">
          <cell r="VV97" t="str">
            <v>legal</v>
          </cell>
        </row>
        <row r="98">
          <cell r="A98" t="str">
            <v>legal 97</v>
          </cell>
        </row>
        <row r="98">
          <cell r="C98" t="str">
            <v>BA-001</v>
          </cell>
        </row>
        <row r="98">
          <cell r="E98" t="str">
            <v>Burol I, Balagtas Bulacan</v>
          </cell>
        </row>
        <row r="98">
          <cell r="T98" t="str">
            <v>Regalario, Ramon B.</v>
          </cell>
        </row>
        <row r="98">
          <cell r="BS98" t="str">
            <v>Residential</v>
          </cell>
          <cell r="BT98" t="str">
            <v>Structure Owner</v>
          </cell>
        </row>
        <row r="98">
          <cell r="JR98" t="str">
            <v>Need Displacement</v>
          </cell>
        </row>
        <row r="98">
          <cell r="KI98" t="str">
            <v>Balik Probinsya</v>
          </cell>
        </row>
        <row r="98">
          <cell r="VV98" t="str">
            <v>legal 97</v>
          </cell>
        </row>
        <row r="99">
          <cell r="A99" t="str">
            <v>legal-r-97</v>
          </cell>
        </row>
        <row r="99">
          <cell r="C99" t="str">
            <v>BA-001</v>
          </cell>
        </row>
        <row r="99">
          <cell r="E99" t="str">
            <v>Burol I, Balagtas Bulacan</v>
          </cell>
        </row>
        <row r="99">
          <cell r="T99" t="str">
            <v>Regala, Fred Coyba</v>
          </cell>
        </row>
        <row r="99">
          <cell r="BS99" t="str">
            <v>Residential</v>
          </cell>
          <cell r="BT99" t="str">
            <v>Structure Renter</v>
          </cell>
        </row>
        <row r="99">
          <cell r="JR99" t="str">
            <v>Need Displacement</v>
          </cell>
        </row>
        <row r="99">
          <cell r="VV99" t="str">
            <v>legal-r-97</v>
          </cell>
        </row>
        <row r="100">
          <cell r="A100" t="str">
            <v>legal</v>
          </cell>
        </row>
        <row r="100">
          <cell r="C100" t="str">
            <v>BA-002</v>
          </cell>
        </row>
        <row r="100">
          <cell r="E100" t="str">
            <v>Burol I, Balagtas Bulacan</v>
          </cell>
        </row>
        <row r="100">
          <cell r="BS100" t="str">
            <v>Residential</v>
          </cell>
          <cell r="BT100" t="str">
            <v>Structure Owner</v>
          </cell>
        </row>
        <row r="100">
          <cell r="VV100" t="str">
            <v>legal</v>
          </cell>
        </row>
        <row r="101">
          <cell r="A101" t="str">
            <v>legal</v>
          </cell>
        </row>
        <row r="101">
          <cell r="C101" t="str">
            <v>BA-005</v>
          </cell>
        </row>
        <row r="101">
          <cell r="E101" t="str">
            <v>Burol I, Balagtas Bulacan</v>
          </cell>
        </row>
        <row r="101">
          <cell r="AS101">
            <v>0.174025974025974</v>
          </cell>
        </row>
        <row r="101">
          <cell r="BS101" t="str">
            <v>Institutional</v>
          </cell>
          <cell r="BT101" t="str">
            <v>Structure Owner</v>
          </cell>
        </row>
        <row r="101">
          <cell r="VV101" t="str">
            <v>legal</v>
          </cell>
        </row>
        <row r="102">
          <cell r="A102" t="str">
            <v>legal</v>
          </cell>
        </row>
        <row r="102">
          <cell r="C102" t="str">
            <v>BO-001.1</v>
          </cell>
        </row>
        <row r="102">
          <cell r="E102" t="str">
            <v>Pinagsilaban St., Brgy.Taal Bocaue Bulacan</v>
          </cell>
        </row>
        <row r="102">
          <cell r="T102" t="str">
            <v>Parungao, Ronel P.</v>
          </cell>
        </row>
        <row r="102">
          <cell r="AS102">
            <v>1</v>
          </cell>
        </row>
        <row r="102">
          <cell r="BS102" t="str">
            <v>Institutional</v>
          </cell>
          <cell r="BT102" t="str">
            <v>Structure Owner</v>
          </cell>
        </row>
        <row r="102">
          <cell r="VV102" t="str">
            <v>legal</v>
          </cell>
        </row>
        <row r="103">
          <cell r="A103" t="str">
            <v>ISF</v>
          </cell>
        </row>
        <row r="103">
          <cell r="C103" t="str">
            <v>BO-002</v>
          </cell>
        </row>
        <row r="103">
          <cell r="E103" t="str">
            <v>Daang Bakal, Barangay Igulot Bocaue</v>
          </cell>
        </row>
        <row r="103">
          <cell r="T103" t="str">
            <v>Mejos Sr., Ruben A.</v>
          </cell>
        </row>
        <row r="103">
          <cell r="AS103">
            <v>0.1</v>
          </cell>
        </row>
        <row r="103">
          <cell r="BS103" t="str">
            <v>Mixed use</v>
          </cell>
          <cell r="BT103" t="str">
            <v>Structure Owner</v>
          </cell>
        </row>
        <row r="103">
          <cell r="JR103" t="str">
            <v>Need Displacement</v>
          </cell>
        </row>
        <row r="103">
          <cell r="KI103" t="str">
            <v>Relocation</v>
          </cell>
        </row>
        <row r="103">
          <cell r="KL103" t="str">
            <v>Northville 5, Brgy Batia, Bocaue Bulacan</v>
          </cell>
        </row>
        <row r="103">
          <cell r="KQ103" t="str">
            <v> </v>
          </cell>
          <cell r="KR103" t="str">
            <v>x</v>
          </cell>
        </row>
        <row r="103">
          <cell r="KU103" t="str">
            <v>x</v>
          </cell>
        </row>
        <row r="103">
          <cell r="KX103" t="str">
            <v>Y</v>
          </cell>
        </row>
        <row r="103">
          <cell r="LB103" t="str">
            <v>x</v>
          </cell>
          <cell r="LC103" t="str">
            <v>x</v>
          </cell>
        </row>
        <row r="104">
          <cell r="A104" t="str">
            <v>legal</v>
          </cell>
        </row>
        <row r="104">
          <cell r="C104" t="str">
            <v>BO-003</v>
          </cell>
        </row>
        <row r="104">
          <cell r="E104" t="str">
            <v>006 Lolomboy-Bundukan Rd., Bundukan, Bocaue, Bulacan</v>
          </cell>
        </row>
        <row r="104">
          <cell r="T104" t="str">
            <v>Felisima I.Ramirez</v>
          </cell>
        </row>
        <row r="104">
          <cell r="AS104">
            <v>0.02</v>
          </cell>
        </row>
        <row r="104">
          <cell r="BS104" t="str">
            <v>Residential</v>
          </cell>
          <cell r="BT104" t="str">
            <v>Structure Owner</v>
          </cell>
        </row>
        <row r="104">
          <cell r="JR104" t="str">
            <v>Can Stay</v>
          </cell>
        </row>
        <row r="104">
          <cell r="VV104" t="str">
            <v>legal</v>
          </cell>
        </row>
        <row r="105">
          <cell r="A105" t="str">
            <v>isf</v>
          </cell>
        </row>
        <row r="105">
          <cell r="C105" t="str">
            <v>MA-007</v>
          </cell>
        </row>
        <row r="105">
          <cell r="E105" t="str">
            <v>Victorina st. Abangan Norte Marilao Bulacan</v>
          </cell>
        </row>
        <row r="105">
          <cell r="T105" t="str">
            <v>Santos, Rosalia I.</v>
          </cell>
        </row>
        <row r="105">
          <cell r="AS105">
            <v>1</v>
          </cell>
        </row>
        <row r="105">
          <cell r="BS105" t="str">
            <v>Residential</v>
          </cell>
          <cell r="BT105" t="str">
            <v>Structure Owner</v>
          </cell>
        </row>
        <row r="105">
          <cell r="JR105" t="str">
            <v>Need Displacement</v>
          </cell>
        </row>
        <row r="105">
          <cell r="KI105" t="str">
            <v>Relocation</v>
          </cell>
        </row>
        <row r="105">
          <cell r="KL105" t="str">
            <v>Northville 5, Brgy Batia, Bocaue Bulacan</v>
          </cell>
        </row>
        <row r="105">
          <cell r="KR105" t="str">
            <v>x</v>
          </cell>
          <cell r="KS105" t="str">
            <v>x</v>
          </cell>
          <cell r="KT105" t="str">
            <v>x</v>
          </cell>
        </row>
        <row r="105">
          <cell r="KX105" t="str">
            <v>Y</v>
          </cell>
        </row>
        <row r="105">
          <cell r="LB105" t="str">
            <v>x</v>
          </cell>
          <cell r="LC105" t="str">
            <v>x</v>
          </cell>
        </row>
        <row r="105">
          <cell r="LE105" t="str">
            <v>x</v>
          </cell>
          <cell r="LF105" t="str">
            <v>x</v>
          </cell>
        </row>
        <row r="106">
          <cell r="A106" t="str">
            <v>isf-r-105</v>
          </cell>
        </row>
        <row r="106">
          <cell r="C106" t="str">
            <v>MA-007A</v>
          </cell>
        </row>
        <row r="106">
          <cell r="E106" t="str">
            <v>Victorina st. Abangan Norte Marilao Bulacan</v>
          </cell>
        </row>
        <row r="106">
          <cell r="T106" t="str">
            <v>Tuazon, Luzviminda D.</v>
          </cell>
        </row>
        <row r="106">
          <cell r="BS106" t="str">
            <v>Residential</v>
          </cell>
          <cell r="BT106" t="str">
            <v>Structure Renter</v>
          </cell>
        </row>
        <row r="106">
          <cell r="JP106" t="str">
            <v>none</v>
          </cell>
        </row>
        <row r="106">
          <cell r="JR106" t="str">
            <v>Need Displacement</v>
          </cell>
        </row>
        <row r="106">
          <cell r="KI106" t="str">
            <v>Relocation</v>
          </cell>
        </row>
        <row r="106">
          <cell r="KL106" t="str">
            <v>Northville 5, Brgy Batia, Bocaue Bulacan</v>
          </cell>
        </row>
        <row r="106">
          <cell r="KR106" t="str">
            <v>x</v>
          </cell>
          <cell r="KS106" t="str">
            <v>x</v>
          </cell>
          <cell r="KT106" t="str">
            <v>x</v>
          </cell>
        </row>
        <row r="106">
          <cell r="KX106" t="str">
            <v>Y</v>
          </cell>
        </row>
        <row r="106">
          <cell r="LB106" t="str">
            <v>x</v>
          </cell>
        </row>
        <row r="106">
          <cell r="LD106" t="str">
            <v>x</v>
          </cell>
        </row>
        <row r="107">
          <cell r="A107" t="str">
            <v>isf-r-105</v>
          </cell>
        </row>
        <row r="107">
          <cell r="C107" t="str">
            <v>MA-007B</v>
          </cell>
        </row>
        <row r="107">
          <cell r="E107" t="str">
            <v>Victorina st. Abangan Norte Marilao Bulacan</v>
          </cell>
        </row>
        <row r="107">
          <cell r="T107" t="str">
            <v>Inselada, Samuel C.</v>
          </cell>
        </row>
        <row r="107">
          <cell r="BS107" t="str">
            <v>Residential</v>
          </cell>
          <cell r="BT107" t="str">
            <v>Structure Renter</v>
          </cell>
        </row>
        <row r="107">
          <cell r="JP107" t="str">
            <v>none</v>
          </cell>
        </row>
        <row r="107">
          <cell r="JR107" t="str">
            <v>Need Displacement</v>
          </cell>
        </row>
        <row r="107">
          <cell r="KI107" t="str">
            <v>Relocation</v>
          </cell>
        </row>
        <row r="107">
          <cell r="KL107" t="str">
            <v>Northville 5, Brgy Batia, Bocaue Bulacan</v>
          </cell>
        </row>
        <row r="107">
          <cell r="KR107" t="str">
            <v>x</v>
          </cell>
        </row>
        <row r="107">
          <cell r="KT107" t="str">
            <v>x</v>
          </cell>
          <cell r="KU107" t="str">
            <v>x</v>
          </cell>
        </row>
        <row r="107">
          <cell r="KX107" t="str">
            <v>Y</v>
          </cell>
        </row>
        <row r="107">
          <cell r="LB107" t="str">
            <v>x</v>
          </cell>
        </row>
        <row r="107">
          <cell r="LD107" t="str">
            <v>x</v>
          </cell>
          <cell r="LE107" t="str">
            <v>x</v>
          </cell>
          <cell r="LF107" t="str">
            <v>x</v>
          </cell>
        </row>
        <row r="108">
          <cell r="A108" t="str">
            <v>isf</v>
          </cell>
        </row>
        <row r="108">
          <cell r="C108" t="str">
            <v>MA-008</v>
          </cell>
        </row>
        <row r="108">
          <cell r="E108" t="str">
            <v>M. Santiago st., Saog Marilao Bulacan</v>
          </cell>
        </row>
        <row r="108">
          <cell r="BS108" t="str">
            <v>Institutional</v>
          </cell>
          <cell r="BT108" t="str">
            <v>Institutional occupant</v>
          </cell>
        </row>
        <row r="108">
          <cell r="VV108" t="str">
            <v>isf</v>
          </cell>
        </row>
        <row r="109">
          <cell r="A109" t="str">
            <v>legal</v>
          </cell>
        </row>
        <row r="109">
          <cell r="C109" t="str">
            <v>MA-009</v>
          </cell>
        </row>
        <row r="109">
          <cell r="E109" t="str">
            <v>004 Daang Bakal st., Saog Marilao Bulacan</v>
          </cell>
        </row>
        <row r="109">
          <cell r="T109" t="str">
            <v>Alicia V. Montañez</v>
          </cell>
        </row>
        <row r="109">
          <cell r="AS109">
            <v>0.281045751633987</v>
          </cell>
        </row>
        <row r="109">
          <cell r="BS109" t="str">
            <v>Residential</v>
          </cell>
          <cell r="BT109" t="str">
            <v>Structure Owner</v>
          </cell>
        </row>
        <row r="109">
          <cell r="JR109" t="str">
            <v>Can Stay</v>
          </cell>
        </row>
        <row r="109">
          <cell r="VV109" t="str">
            <v>legal</v>
          </cell>
        </row>
        <row r="110">
          <cell r="A110" t="str">
            <v>legal 109</v>
          </cell>
        </row>
        <row r="110">
          <cell r="C110" t="str">
            <v>MA-009A</v>
          </cell>
        </row>
        <row r="110">
          <cell r="E110" t="str">
            <v>004 Daang Bakal st., Saog Marilao Bulacan</v>
          </cell>
        </row>
        <row r="110">
          <cell r="T110" t="str">
            <v>Edwin P. Villanueva</v>
          </cell>
        </row>
        <row r="110">
          <cell r="BS110" t="str">
            <v>Residential</v>
          </cell>
          <cell r="BT110" t="str">
            <v>Structure Owner</v>
          </cell>
        </row>
        <row r="110">
          <cell r="JR110" t="str">
            <v>Can Stay</v>
          </cell>
        </row>
        <row r="110">
          <cell r="VV110" t="str">
            <v>legal 109</v>
          </cell>
        </row>
        <row r="111">
          <cell r="A111" t="str">
            <v>legal</v>
          </cell>
        </row>
        <row r="111">
          <cell r="C111" t="str">
            <v>MA-010</v>
          </cell>
        </row>
        <row r="111">
          <cell r="E111" t="str">
            <v>004 Daang Bakal st., Saog Marilao Bulacan</v>
          </cell>
        </row>
        <row r="111">
          <cell r="T111" t="str">
            <v>Guinto, Lauro P.</v>
          </cell>
        </row>
        <row r="111">
          <cell r="AS111">
            <v>0.155339805825243</v>
          </cell>
        </row>
        <row r="111">
          <cell r="BS111" t="str">
            <v>Residential</v>
          </cell>
          <cell r="BT111" t="str">
            <v>Structure Owner</v>
          </cell>
        </row>
        <row r="111">
          <cell r="JR111" t="str">
            <v>Can Stay</v>
          </cell>
        </row>
        <row r="112">
          <cell r="A112" t="str">
            <v>legal</v>
          </cell>
        </row>
        <row r="112">
          <cell r="C112" t="str">
            <v>MA-011</v>
          </cell>
        </row>
        <row r="112">
          <cell r="E112" t="str">
            <v>070 Hyacith st., Fausta Village Abangan Sur</v>
          </cell>
        </row>
        <row r="112">
          <cell r="T112" t="str">
            <v>Castor, Levy Poitan</v>
          </cell>
        </row>
        <row r="112">
          <cell r="AS112">
            <v>0.195112710740671</v>
          </cell>
        </row>
        <row r="112">
          <cell r="BS112" t="str">
            <v>Residential</v>
          </cell>
          <cell r="BT112" t="str">
            <v>Structure Owner</v>
          </cell>
        </row>
        <row r="112">
          <cell r="VV112" t="str">
            <v>legal</v>
          </cell>
        </row>
        <row r="113">
          <cell r="A113" t="str">
            <v>legal 112</v>
          </cell>
        </row>
        <row r="113">
          <cell r="C113" t="str">
            <v>MA-011A</v>
          </cell>
        </row>
        <row r="113">
          <cell r="E113" t="str">
            <v>003 Daang Bakal st., Saog Marilao</v>
          </cell>
        </row>
        <row r="113">
          <cell r="T113" t="str">
            <v>Polintan, Noli Guevarra</v>
          </cell>
        </row>
        <row r="113">
          <cell r="BS113" t="str">
            <v>Residential</v>
          </cell>
          <cell r="BT113" t="str">
            <v>Caretaker</v>
          </cell>
        </row>
        <row r="113">
          <cell r="JP113">
            <v>2000</v>
          </cell>
        </row>
        <row r="113">
          <cell r="JR113" t="str">
            <v>Need Displacement</v>
          </cell>
        </row>
        <row r="113">
          <cell r="VV113" t="str">
            <v>legal 112</v>
          </cell>
        </row>
        <row r="114">
          <cell r="A114" t="str">
            <v>legal</v>
          </cell>
        </row>
        <row r="114">
          <cell r="C114" t="str">
            <v>MA-012</v>
          </cell>
        </row>
        <row r="114">
          <cell r="E114" t="str">
            <v>001 Daang Bakal St., Saog Marilao Bulacan</v>
          </cell>
        </row>
        <row r="114">
          <cell r="T114" t="str">
            <v>Ocenak, Ellie Papiona</v>
          </cell>
        </row>
        <row r="114">
          <cell r="AS114">
            <v>0.15</v>
          </cell>
        </row>
        <row r="114">
          <cell r="BS114" t="str">
            <v>Residential</v>
          </cell>
          <cell r="BT114" t="str">
            <v>Structure Owner</v>
          </cell>
        </row>
        <row r="114">
          <cell r="JR114" t="str">
            <v>Can Stay</v>
          </cell>
        </row>
        <row r="114">
          <cell r="VV114" t="str">
            <v>legal</v>
          </cell>
        </row>
        <row r="115">
          <cell r="A115" t="str">
            <v>legal</v>
          </cell>
        </row>
        <row r="115">
          <cell r="C115" t="str">
            <v>MA 013</v>
          </cell>
        </row>
        <row r="115">
          <cell r="E115" t="str">
            <v>001 Daang Bakal St., Saog Marilao Bulacan</v>
          </cell>
        </row>
        <row r="115">
          <cell r="T115" t="str">
            <v>Villaflores, Clarita Montaos</v>
          </cell>
        </row>
        <row r="115">
          <cell r="AS115">
            <v>0.147058823529412</v>
          </cell>
        </row>
        <row r="115">
          <cell r="BS115" t="str">
            <v>Residential</v>
          </cell>
          <cell r="BT115" t="str">
            <v>Structure Owner</v>
          </cell>
        </row>
        <row r="115">
          <cell r="VV115" t="str">
            <v>legal</v>
          </cell>
        </row>
        <row r="116">
          <cell r="A116" t="str">
            <v>legal 115</v>
          </cell>
        </row>
        <row r="116">
          <cell r="C116" t="str">
            <v>MA-013A</v>
          </cell>
        </row>
        <row r="116">
          <cell r="E116" t="str">
            <v>001 Daang Bakal St., Saog Marilao Bulacan</v>
          </cell>
        </row>
        <row r="116">
          <cell r="T116" t="str">
            <v>Miramvil, Rizalto Narvaes</v>
          </cell>
        </row>
        <row r="116">
          <cell r="BS116" t="str">
            <v>Residential</v>
          </cell>
          <cell r="BT116" t="str">
            <v>Caretaker</v>
          </cell>
        </row>
        <row r="116">
          <cell r="VV116" t="str">
            <v>legal 115</v>
          </cell>
        </row>
        <row r="117">
          <cell r="A117" t="str">
            <v>legal</v>
          </cell>
        </row>
        <row r="117">
          <cell r="C117" t="str">
            <v>MA-014</v>
          </cell>
        </row>
        <row r="117">
          <cell r="E117" t="str">
            <v>Villa Roma Phase 2, Saog Marilao Bulacan</v>
          </cell>
        </row>
        <row r="117">
          <cell r="T117" t="str">
            <v>Rosende, Rene L.</v>
          </cell>
        </row>
        <row r="117">
          <cell r="AS117">
            <v>0.3432</v>
          </cell>
        </row>
        <row r="117">
          <cell r="BS117" t="str">
            <v>Residential</v>
          </cell>
          <cell r="BT117" t="str">
            <v>Land Owner</v>
          </cell>
        </row>
        <row r="117">
          <cell r="KI117" t="str">
            <v>Just Compensation (have existing livellihood)</v>
          </cell>
        </row>
        <row r="117">
          <cell r="VV117" t="str">
            <v>legal</v>
          </cell>
        </row>
        <row r="118">
          <cell r="A118" t="str">
            <v>legal 117</v>
          </cell>
        </row>
        <row r="118">
          <cell r="C118" t="str">
            <v>MA-015</v>
          </cell>
        </row>
        <row r="118">
          <cell r="E118" t="str">
            <v>35 Daang Bakal St., Saog Marilao</v>
          </cell>
        </row>
        <row r="118">
          <cell r="T118" t="str">
            <v>Mendoza, Adriano Nieva</v>
          </cell>
        </row>
        <row r="118">
          <cell r="BS118" t="str">
            <v>Residential</v>
          </cell>
          <cell r="BT118" t="str">
            <v>Structure Owner</v>
          </cell>
        </row>
        <row r="118">
          <cell r="JR118" t="str">
            <v>Need Displacement</v>
          </cell>
        </row>
        <row r="118">
          <cell r="VV118" t="str">
            <v>legal 117</v>
          </cell>
        </row>
        <row r="119">
          <cell r="A119" t="str">
            <v>legal 117</v>
          </cell>
        </row>
        <row r="119">
          <cell r="C119" t="str">
            <v>MA-016</v>
          </cell>
        </row>
        <row r="119">
          <cell r="E119" t="str">
            <v>23 Daang Bakal St., Saog Marilao Bulacan</v>
          </cell>
        </row>
        <row r="119">
          <cell r="T119" t="str">
            <v>Monilla, Elmer Gapuz</v>
          </cell>
        </row>
        <row r="119">
          <cell r="BS119" t="str">
            <v>Residential</v>
          </cell>
          <cell r="BT119" t="str">
            <v>Structure Owner</v>
          </cell>
        </row>
        <row r="119">
          <cell r="JR119" t="str">
            <v>Need Displacement</v>
          </cell>
        </row>
        <row r="119">
          <cell r="VV119" t="str">
            <v>legal 117</v>
          </cell>
        </row>
        <row r="120">
          <cell r="A120" t="str">
            <v>legal 117</v>
          </cell>
        </row>
        <row r="120">
          <cell r="C120" t="str">
            <v>MA-016A</v>
          </cell>
        </row>
        <row r="120">
          <cell r="E120" t="str">
            <v>23 Daang Bakal St., Saog Marilao Bulacan</v>
          </cell>
        </row>
        <row r="120">
          <cell r="T120" t="str">
            <v>Monilla, Elmer G.</v>
          </cell>
        </row>
        <row r="120">
          <cell r="BS120" t="str">
            <v>Residential</v>
          </cell>
          <cell r="BT120" t="str">
            <v>Caretaker</v>
          </cell>
        </row>
        <row r="120">
          <cell r="JP120">
            <v>1000</v>
          </cell>
        </row>
        <row r="120">
          <cell r="JR120" t="str">
            <v>Need Displacement</v>
          </cell>
        </row>
        <row r="121">
          <cell r="A121" t="str">
            <v>legal 117</v>
          </cell>
        </row>
        <row r="121">
          <cell r="C121" t="str">
            <v>MA-016A1</v>
          </cell>
        </row>
        <row r="121">
          <cell r="E121" t="str">
            <v>23 Daang Bakal St., Saog Marilao Bulacan</v>
          </cell>
        </row>
        <row r="121">
          <cell r="T121" t="str">
            <v>Rodrigo Geronimo</v>
          </cell>
        </row>
        <row r="121">
          <cell r="BS121" t="str">
            <v>Residential</v>
          </cell>
          <cell r="BT121" t="str">
            <v>Co-owner</v>
          </cell>
        </row>
        <row r="121">
          <cell r="VV121" t="str">
            <v>legal 117</v>
          </cell>
        </row>
        <row r="122">
          <cell r="A122" t="str">
            <v>legal-r-117</v>
          </cell>
        </row>
        <row r="122">
          <cell r="C122" t="str">
            <v>MA-016B</v>
          </cell>
        </row>
        <row r="122">
          <cell r="E122" t="str">
            <v>23 Daang Bakal St., Saog Marilao Bulacan</v>
          </cell>
        </row>
        <row r="122">
          <cell r="T122" t="str">
            <v>Paz, Gelaine Jimenez</v>
          </cell>
        </row>
        <row r="122">
          <cell r="BS122" t="str">
            <v>Residential</v>
          </cell>
          <cell r="BT122" t="str">
            <v>Structure Renter</v>
          </cell>
        </row>
        <row r="122">
          <cell r="VV122" t="str">
            <v>legal-r-117</v>
          </cell>
        </row>
        <row r="123">
          <cell r="A123" t="str">
            <v>legal 117</v>
          </cell>
        </row>
        <row r="123">
          <cell r="C123" t="str">
            <v>MA-017</v>
          </cell>
        </row>
        <row r="123">
          <cell r="E123" t="str">
            <v>2 Lias Road, Saog Marilao Bulacan</v>
          </cell>
        </row>
        <row r="123">
          <cell r="T123" t="str">
            <v>Mendoza, Reynaldo Nieva</v>
          </cell>
        </row>
        <row r="123">
          <cell r="BS123" t="str">
            <v>Mixed use</v>
          </cell>
          <cell r="BT123" t="str">
            <v>Structure Owner</v>
          </cell>
        </row>
        <row r="123">
          <cell r="JR123" t="str">
            <v>Need Displacement</v>
          </cell>
        </row>
        <row r="123">
          <cell r="VV123" t="str">
            <v>legal 117</v>
          </cell>
        </row>
        <row r="124">
          <cell r="A124" t="str">
            <v>legal 117</v>
          </cell>
        </row>
        <row r="124">
          <cell r="C124" t="str">
            <v>MA-017A</v>
          </cell>
        </row>
        <row r="124">
          <cell r="E124" t="str">
            <v>2 Lias Road, Saog Marilao Bulacan</v>
          </cell>
        </row>
        <row r="124">
          <cell r="T124" t="str">
            <v>Mendoza, Reynaldo Nieva</v>
          </cell>
        </row>
        <row r="124">
          <cell r="BS124" t="str">
            <v>Mixed use</v>
          </cell>
          <cell r="BT124" t="str">
            <v>Co-owner</v>
          </cell>
        </row>
        <row r="124">
          <cell r="VV124" t="str">
            <v>legal 117</v>
          </cell>
        </row>
        <row r="125">
          <cell r="A125" t="str">
            <v>legal 117</v>
          </cell>
        </row>
        <row r="125">
          <cell r="C125" t="str">
            <v>MA-017B</v>
          </cell>
        </row>
        <row r="125">
          <cell r="E125" t="str">
            <v>2 Lias Road, Saog Marilao Bulacan</v>
          </cell>
        </row>
        <row r="125">
          <cell r="BS125" t="str">
            <v>Mixed use</v>
          </cell>
          <cell r="BT125" t="str">
            <v>Commercial Tenant</v>
          </cell>
        </row>
        <row r="125">
          <cell r="VV125" t="str">
            <v>legal 117</v>
          </cell>
        </row>
        <row r="126">
          <cell r="A126" t="str">
            <v>legal 117</v>
          </cell>
        </row>
        <row r="126">
          <cell r="C126" t="str">
            <v>MA-017C</v>
          </cell>
        </row>
        <row r="126">
          <cell r="E126" t="str">
            <v>2 Lias Road, Saog Marilao Bulacan</v>
          </cell>
        </row>
        <row r="126">
          <cell r="BS126" t="str">
            <v>Mixed use</v>
          </cell>
          <cell r="BT126" t="str">
            <v>Commercial Tenant</v>
          </cell>
        </row>
        <row r="126">
          <cell r="VV126" t="str">
            <v>legal 117</v>
          </cell>
        </row>
        <row r="127">
          <cell r="A127" t="str">
            <v>legal 117</v>
          </cell>
        </row>
        <row r="127">
          <cell r="C127" t="str">
            <v>MA-017D</v>
          </cell>
        </row>
        <row r="127">
          <cell r="E127" t="str">
            <v>2 Lias Road, Saog Marilao Bulacan</v>
          </cell>
        </row>
        <row r="127">
          <cell r="BS127" t="str">
            <v>Mixed use</v>
          </cell>
          <cell r="BT127" t="str">
            <v>Commercial Tenant</v>
          </cell>
        </row>
        <row r="127">
          <cell r="VV127" t="str">
            <v>legal 117</v>
          </cell>
        </row>
        <row r="128">
          <cell r="A128" t="str">
            <v>legal</v>
          </cell>
        </row>
        <row r="128">
          <cell r="C128" t="str">
            <v>MA-018</v>
          </cell>
        </row>
        <row r="128">
          <cell r="E128" t="str">
            <v>500, St. Martin st., Ibayo Marilao Bulacan</v>
          </cell>
        </row>
        <row r="128">
          <cell r="T128" t="str">
            <v>Enriquez, Salvacion E.</v>
          </cell>
        </row>
        <row r="128">
          <cell r="AS128">
            <v>0.523320895522388</v>
          </cell>
        </row>
        <row r="128">
          <cell r="BS128" t="str">
            <v>Mixed use</v>
          </cell>
          <cell r="BT128" t="str">
            <v>Structure Owner</v>
          </cell>
        </row>
        <row r="128">
          <cell r="JR128" t="str">
            <v>Need Displacement</v>
          </cell>
        </row>
        <row r="128">
          <cell r="KG128">
            <v>8000</v>
          </cell>
        </row>
        <row r="129">
          <cell r="A129" t="str">
            <v>legal 128</v>
          </cell>
        </row>
        <row r="129">
          <cell r="C129" t="str">
            <v>MA-018A</v>
          </cell>
        </row>
        <row r="129">
          <cell r="E129" t="str">
            <v>500, St. Martin st., Ibayo Marilao Bulacan</v>
          </cell>
        </row>
        <row r="129">
          <cell r="BS129" t="str">
            <v>Mixed use</v>
          </cell>
          <cell r="BT129" t="str">
            <v>Commercial Tenant</v>
          </cell>
        </row>
        <row r="129">
          <cell r="VV129" t="str">
            <v>legal 128</v>
          </cell>
        </row>
        <row r="130">
          <cell r="A130" t="str">
            <v>legal</v>
          </cell>
        </row>
        <row r="130">
          <cell r="C130" t="str">
            <v>MA-019</v>
          </cell>
        </row>
        <row r="130">
          <cell r="E130" t="str">
            <v>SM Marilao, Barangay Ibayo, Marilao, Bulacan</v>
          </cell>
        </row>
        <row r="130">
          <cell r="BS130" t="str">
            <v>Commercial</v>
          </cell>
          <cell r="BT130" t="str">
            <v>Structure Owner</v>
          </cell>
        </row>
        <row r="130">
          <cell r="VV130" t="str">
            <v>legal</v>
          </cell>
        </row>
        <row r="131">
          <cell r="A131" t="str">
            <v>isf</v>
          </cell>
        </row>
        <row r="131">
          <cell r="C131" t="str">
            <v>MY-001</v>
          </cell>
        </row>
        <row r="131">
          <cell r="E131" t="str">
            <v>007 Soliera St., Pandayan, Meycauayan Bulacan</v>
          </cell>
        </row>
        <row r="131">
          <cell r="BS131" t="str">
            <v>Institutional</v>
          </cell>
          <cell r="BT131" t="str">
            <v>Structure Owner</v>
          </cell>
        </row>
        <row r="131">
          <cell r="VV131" t="str">
            <v>isf</v>
          </cell>
        </row>
        <row r="132">
          <cell r="A132" t="str">
            <v>legal</v>
          </cell>
        </row>
        <row r="132">
          <cell r="C132" t="str">
            <v>MY-005</v>
          </cell>
        </row>
        <row r="132">
          <cell r="E132" t="str">
            <v>San Pedro Subd., Tugatog, Meycauayan</v>
          </cell>
        </row>
        <row r="132">
          <cell r="BS132" t="str">
            <v>Residential</v>
          </cell>
          <cell r="BT132" t="str">
            <v>Structure Owner</v>
          </cell>
        </row>
        <row r="132">
          <cell r="VV132" t="str">
            <v>legal</v>
          </cell>
        </row>
        <row r="133">
          <cell r="A133" t="str">
            <v>legal</v>
          </cell>
        </row>
        <row r="133">
          <cell r="C133" t="str">
            <v>MY-006</v>
          </cell>
        </row>
        <row r="133">
          <cell r="E133" t="str">
            <v>228 Rosales st., Tugatog, Meycauayan</v>
          </cell>
        </row>
        <row r="133">
          <cell r="T133" t="str">
            <v>Lanoso, Jayson Abela</v>
          </cell>
        </row>
        <row r="133">
          <cell r="AS133">
            <v>0.174665617623918</v>
          </cell>
        </row>
        <row r="133">
          <cell r="BS133" t="str">
            <v>Residential</v>
          </cell>
          <cell r="BT133" t="str">
            <v>Structure Owner</v>
          </cell>
        </row>
        <row r="133">
          <cell r="JR133" t="str">
            <v>Can Stay</v>
          </cell>
        </row>
        <row r="133">
          <cell r="VV133" t="str">
            <v>legal</v>
          </cell>
        </row>
        <row r="134">
          <cell r="A134" t="str">
            <v>legal</v>
          </cell>
        </row>
        <row r="134">
          <cell r="C134" t="str">
            <v>MY-006.1</v>
          </cell>
        </row>
        <row r="134">
          <cell r="E134" t="str">
            <v>Rosales St., Tugatog Meycauayan Bulacan</v>
          </cell>
        </row>
        <row r="134">
          <cell r="T134" t="str">
            <v>Gallego Jr, Melven</v>
          </cell>
        </row>
        <row r="134">
          <cell r="AS134">
            <v>0.75</v>
          </cell>
        </row>
        <row r="134">
          <cell r="BS134" t="str">
            <v>Residential</v>
          </cell>
          <cell r="BT134" t="str">
            <v>Structure Owner</v>
          </cell>
        </row>
        <row r="134">
          <cell r="JR134" t="str">
            <v>Need Displacement</v>
          </cell>
        </row>
        <row r="134">
          <cell r="VV134" t="str">
            <v>legal</v>
          </cell>
        </row>
        <row r="135">
          <cell r="A135" t="str">
            <v>legal-r-134</v>
          </cell>
        </row>
        <row r="135">
          <cell r="C135" t="str">
            <v>MY-006.1</v>
          </cell>
        </row>
        <row r="135">
          <cell r="E135" t="str">
            <v>Rosales St., Tugatog Meycauayan Bulacan</v>
          </cell>
        </row>
        <row r="135">
          <cell r="T135" t="str">
            <v>Dizon, Joseph</v>
          </cell>
        </row>
        <row r="135">
          <cell r="BS135" t="str">
            <v>Residential</v>
          </cell>
          <cell r="BT135" t="str">
            <v>Structure Renter</v>
          </cell>
        </row>
        <row r="135">
          <cell r="JP135">
            <v>1500</v>
          </cell>
        </row>
        <row r="135">
          <cell r="JR135" t="str">
            <v>Need Displacement</v>
          </cell>
        </row>
        <row r="135">
          <cell r="VV135" t="str">
            <v>legal-r-134</v>
          </cell>
        </row>
        <row r="136">
          <cell r="A136" t="str">
            <v>legal-r-134</v>
          </cell>
        </row>
        <row r="136">
          <cell r="C136" t="str">
            <v>MY-006.1</v>
          </cell>
        </row>
        <row r="136">
          <cell r="E136" t="str">
            <v>Rosales St., Tugatog Meycauayan Bulacan</v>
          </cell>
        </row>
        <row r="136">
          <cell r="T136" t="str">
            <v>Igoña, Rico</v>
          </cell>
        </row>
        <row r="136">
          <cell r="BS136" t="str">
            <v>Residential</v>
          </cell>
          <cell r="BT136" t="str">
            <v>Structure Renter</v>
          </cell>
        </row>
        <row r="136">
          <cell r="JR136" t="str">
            <v>Need Displacement</v>
          </cell>
        </row>
        <row r="136">
          <cell r="VV136" t="str">
            <v>legal-r-134</v>
          </cell>
        </row>
        <row r="137">
          <cell r="A137" t="str">
            <v>legal-r-134</v>
          </cell>
        </row>
        <row r="137">
          <cell r="C137" t="str">
            <v>MY-006.1</v>
          </cell>
        </row>
        <row r="137">
          <cell r="E137" t="str">
            <v>Rosales St., Tugatog Meycauayan Bulacan</v>
          </cell>
        </row>
        <row r="137">
          <cell r="T137" t="str">
            <v>Zuñiga, Reymond</v>
          </cell>
        </row>
        <row r="137">
          <cell r="BS137" t="str">
            <v>Residential</v>
          </cell>
          <cell r="BT137" t="str">
            <v>Structure Renter</v>
          </cell>
        </row>
        <row r="137">
          <cell r="JR137" t="str">
            <v>Need Displacement</v>
          </cell>
        </row>
        <row r="137">
          <cell r="VV137" t="str">
            <v>legal-r-134</v>
          </cell>
        </row>
        <row r="138">
          <cell r="A138" t="str">
            <v>legal</v>
          </cell>
        </row>
        <row r="138">
          <cell r="C138" t="str">
            <v>MY-006.2</v>
          </cell>
        </row>
        <row r="138">
          <cell r="E138" t="str">
            <v>288 Rosales St., Tugatog Meycauayan Bulacan</v>
          </cell>
        </row>
        <row r="138">
          <cell r="AS138">
            <v>1</v>
          </cell>
        </row>
        <row r="138">
          <cell r="BS138" t="str">
            <v>Residential</v>
          </cell>
          <cell r="BT138" t="str">
            <v>Structure Owner</v>
          </cell>
        </row>
        <row r="138">
          <cell r="JR138" t="str">
            <v>Need Displacement</v>
          </cell>
        </row>
        <row r="138">
          <cell r="VV138" t="str">
            <v>legal</v>
          </cell>
        </row>
        <row r="139">
          <cell r="A139" t="str">
            <v>legal-r-138</v>
          </cell>
        </row>
        <row r="139">
          <cell r="C139" t="str">
            <v>MY-006.2</v>
          </cell>
        </row>
        <row r="139">
          <cell r="E139" t="str">
            <v>288 Rosales St., Tugatog Meycauayan Bulacan</v>
          </cell>
        </row>
        <row r="139">
          <cell r="T139" t="str">
            <v>Ma. Theresa Agulto</v>
          </cell>
        </row>
        <row r="139">
          <cell r="BS139" t="str">
            <v>Residential</v>
          </cell>
          <cell r="BT139" t="str">
            <v>Structure Renter</v>
          </cell>
        </row>
        <row r="139">
          <cell r="JR139" t="str">
            <v>Need Displacement</v>
          </cell>
        </row>
        <row r="139">
          <cell r="VV139" t="str">
            <v>legal-r-138</v>
          </cell>
        </row>
        <row r="140">
          <cell r="A140" t="str">
            <v>legal-r-138</v>
          </cell>
        </row>
        <row r="140">
          <cell r="C140" t="str">
            <v>MY-006.2</v>
          </cell>
        </row>
        <row r="140">
          <cell r="E140" t="str">
            <v>288 Rosales St., Tugatog Meycauayan Bulacan</v>
          </cell>
        </row>
        <row r="140">
          <cell r="T140" t="str">
            <v>Agulto, Sinclair Balentong</v>
          </cell>
        </row>
        <row r="140">
          <cell r="BS140" t="str">
            <v>Residential</v>
          </cell>
          <cell r="BT140" t="str">
            <v>Structure Renter</v>
          </cell>
        </row>
        <row r="140">
          <cell r="JR140" t="str">
            <v>Need Displacement</v>
          </cell>
        </row>
        <row r="140">
          <cell r="VV140" t="str">
            <v>legal-r-138</v>
          </cell>
        </row>
        <row r="141">
          <cell r="A141" t="str">
            <v>legal-r-138</v>
          </cell>
        </row>
        <row r="141">
          <cell r="C141" t="str">
            <v>MY-006.2</v>
          </cell>
        </row>
        <row r="141">
          <cell r="E141" t="str">
            <v>288 Rosales St., Tugatog Meycauayan Bulacan</v>
          </cell>
        </row>
        <row r="141">
          <cell r="T141" t="str">
            <v>Gumela, Julieto</v>
          </cell>
        </row>
        <row r="141">
          <cell r="BS141" t="str">
            <v>Residential</v>
          </cell>
          <cell r="BT141" t="str">
            <v>Structure Renter</v>
          </cell>
        </row>
        <row r="141">
          <cell r="VV141" t="str">
            <v>legal-r-138</v>
          </cell>
        </row>
        <row r="142">
          <cell r="A142" t="str">
            <v>legal</v>
          </cell>
        </row>
        <row r="142">
          <cell r="C142" t="str">
            <v>MY-006.3</v>
          </cell>
        </row>
        <row r="142">
          <cell r="E142" t="str">
            <v>Brgy. Tugatog Meycauayan Bulacan</v>
          </cell>
        </row>
        <row r="142">
          <cell r="AS142">
            <v>0.1232741617357</v>
          </cell>
        </row>
        <row r="142">
          <cell r="BS142" t="str">
            <v>Commercial</v>
          </cell>
          <cell r="BT142" t="str">
            <v>Structure Owner</v>
          </cell>
        </row>
        <row r="142">
          <cell r="JR142" t="str">
            <v>Can Stay</v>
          </cell>
        </row>
        <row r="142">
          <cell r="VV142" t="str">
            <v>legal</v>
          </cell>
        </row>
        <row r="143">
          <cell r="A143" t="str">
            <v>legal</v>
          </cell>
        </row>
        <row r="143">
          <cell r="C143" t="str">
            <v>MY-007</v>
          </cell>
        </row>
        <row r="143">
          <cell r="E143" t="str">
            <v>San Pedro Subd., Tugatog, Meycauayan</v>
          </cell>
        </row>
        <row r="143">
          <cell r="AS143">
            <v>1</v>
          </cell>
        </row>
        <row r="143">
          <cell r="BS143" t="str">
            <v>Institutional</v>
          </cell>
          <cell r="BT143" t="str">
            <v>Structure Owner</v>
          </cell>
        </row>
        <row r="143">
          <cell r="VV143" t="str">
            <v>legal</v>
          </cell>
        </row>
        <row r="144">
          <cell r="A144" t="str">
            <v>legal</v>
          </cell>
        </row>
        <row r="144">
          <cell r="C144" t="str">
            <v>MY-007.1</v>
          </cell>
        </row>
        <row r="144">
          <cell r="E144" t="str">
            <v>156 San Pedro Tugatog Meycauayan Bulacan</v>
          </cell>
        </row>
        <row r="144">
          <cell r="T144" t="str">
            <v>Bernel, Reynaldo Magalona</v>
          </cell>
        </row>
        <row r="144">
          <cell r="AS144">
            <v>0.27</v>
          </cell>
        </row>
        <row r="144">
          <cell r="BS144" t="str">
            <v>Residential</v>
          </cell>
          <cell r="BT144" t="str">
            <v>Structure Owner</v>
          </cell>
        </row>
        <row r="144">
          <cell r="VV144" t="str">
            <v>legal</v>
          </cell>
        </row>
        <row r="145">
          <cell r="A145" t="str">
            <v>legal</v>
          </cell>
        </row>
        <row r="145">
          <cell r="C145" t="str">
            <v>MY-007.2</v>
          </cell>
        </row>
        <row r="145">
          <cell r="E145" t="str">
            <v>130 San Pedro Tugatog Meycauayan Bulacan</v>
          </cell>
        </row>
        <row r="145">
          <cell r="T145" t="str">
            <v>Lumbrero, Rafael</v>
          </cell>
        </row>
        <row r="145">
          <cell r="AS145">
            <v>0.930851063829787</v>
          </cell>
        </row>
        <row r="145">
          <cell r="BS145" t="str">
            <v>Residential</v>
          </cell>
          <cell r="BT145" t="str">
            <v>Structure Owner</v>
          </cell>
        </row>
        <row r="145">
          <cell r="VV145" t="str">
            <v>legal</v>
          </cell>
        </row>
        <row r="146">
          <cell r="A146" t="str">
            <v>legal</v>
          </cell>
        </row>
        <row r="146">
          <cell r="C146" t="str">
            <v>MY-007.3</v>
          </cell>
        </row>
        <row r="146">
          <cell r="E146" t="str">
            <v>San Pedro  Subd., Tugatog Meycauayan Bulacan</v>
          </cell>
        </row>
        <row r="146">
          <cell r="T146" t="str">
            <v>Leonardo, Herminia Milan</v>
          </cell>
        </row>
        <row r="146">
          <cell r="AS146">
            <v>1</v>
          </cell>
        </row>
        <row r="146">
          <cell r="BS146" t="str">
            <v>Institutional</v>
          </cell>
          <cell r="BT146" t="str">
            <v>Institutional Occupant</v>
          </cell>
        </row>
        <row r="146">
          <cell r="VV146" t="str">
            <v>legal</v>
          </cell>
        </row>
        <row r="147">
          <cell r="A147" t="str">
            <v>legal</v>
          </cell>
        </row>
        <row r="147">
          <cell r="C147" t="str">
            <v>MY-007.4</v>
          </cell>
        </row>
        <row r="147">
          <cell r="E147" t="str">
            <v>159 San Padro Subd Tugatog Meycauayan Bulacan</v>
          </cell>
        </row>
        <row r="147">
          <cell r="T147" t="str">
            <v>Diana, Fernando</v>
          </cell>
        </row>
        <row r="147">
          <cell r="AS147">
            <v>0.651</v>
          </cell>
        </row>
        <row r="147">
          <cell r="BS147" t="str">
            <v>Residential</v>
          </cell>
          <cell r="BT147" t="str">
            <v>Structure Owner</v>
          </cell>
        </row>
        <row r="147">
          <cell r="VV147" t="str">
            <v>legal</v>
          </cell>
        </row>
        <row r="148">
          <cell r="A148" t="str">
            <v>legal 147</v>
          </cell>
        </row>
        <row r="148">
          <cell r="C148" t="str">
            <v>MY-007.5B</v>
          </cell>
        </row>
        <row r="148">
          <cell r="E148" t="str">
            <v>San Pedro Tugatog Meycauayan Bulacan</v>
          </cell>
        </row>
        <row r="148">
          <cell r="T148" t="str">
            <v>Diana, Christopher</v>
          </cell>
        </row>
        <row r="148">
          <cell r="BS148" t="str">
            <v>Residential</v>
          </cell>
          <cell r="BT148" t="str">
            <v>Structure Owner</v>
          </cell>
        </row>
        <row r="148">
          <cell r="VV148" t="str">
            <v>legal 147</v>
          </cell>
        </row>
        <row r="149">
          <cell r="A149" t="str">
            <v>legal</v>
          </cell>
        </row>
        <row r="149">
          <cell r="C149" t="str">
            <v>MY-007.6</v>
          </cell>
        </row>
        <row r="149">
          <cell r="E149" t="str">
            <v>156 San Pedro Tugatog Meycauayan Bulacan</v>
          </cell>
        </row>
        <row r="149">
          <cell r="AS149">
            <v>0.460869565217391</v>
          </cell>
        </row>
        <row r="149">
          <cell r="BS149" t="str">
            <v>Residential</v>
          </cell>
          <cell r="BT149" t="str">
            <v>Structure Owner</v>
          </cell>
        </row>
        <row r="149">
          <cell r="JR149" t="str">
            <v>Need Displacement</v>
          </cell>
        </row>
        <row r="149">
          <cell r="VV149" t="str">
            <v>legal</v>
          </cell>
        </row>
        <row r="150">
          <cell r="A150" t="str">
            <v>legal-r-149</v>
          </cell>
        </row>
        <row r="150">
          <cell r="C150" t="str">
            <v>MY-007.6</v>
          </cell>
        </row>
        <row r="150">
          <cell r="E150" t="str">
            <v>156 San Pedro Tugatog Meycauayan Bulacan</v>
          </cell>
        </row>
        <row r="150">
          <cell r="T150" t="str">
            <v>Luteria, Jose Sanio Abocot</v>
          </cell>
        </row>
        <row r="150">
          <cell r="BS150" t="str">
            <v>Residential</v>
          </cell>
          <cell r="BT150" t="str">
            <v>Structure Renter</v>
          </cell>
        </row>
        <row r="150">
          <cell r="JP150">
            <v>1200</v>
          </cell>
        </row>
        <row r="150">
          <cell r="JR150" t="str">
            <v>Need Displacement</v>
          </cell>
        </row>
        <row r="150">
          <cell r="VV150" t="str">
            <v>legal-r-149</v>
          </cell>
        </row>
        <row r="151">
          <cell r="A151" t="str">
            <v>legal-r-149</v>
          </cell>
        </row>
        <row r="151">
          <cell r="C151" t="str">
            <v>MY-007.6</v>
          </cell>
        </row>
        <row r="151">
          <cell r="E151" t="str">
            <v>156 San Pedro Tugatog Meycauayan Bulacan</v>
          </cell>
        </row>
        <row r="151">
          <cell r="T151" t="str">
            <v>Salazar, Dominador Jr. Belarmino</v>
          </cell>
        </row>
        <row r="151">
          <cell r="BS151" t="str">
            <v>Residential</v>
          </cell>
          <cell r="BT151" t="str">
            <v>Structure Renter</v>
          </cell>
        </row>
        <row r="151">
          <cell r="JP151">
            <v>700</v>
          </cell>
        </row>
        <row r="151">
          <cell r="JR151" t="str">
            <v>Need Displacement</v>
          </cell>
        </row>
        <row r="151">
          <cell r="VV151" t="str">
            <v>legal-r-149</v>
          </cell>
        </row>
        <row r="152">
          <cell r="A152" t="str">
            <v>legal-r-149</v>
          </cell>
        </row>
        <row r="152">
          <cell r="C152" t="str">
            <v>MY-007.6</v>
          </cell>
        </row>
        <row r="152">
          <cell r="E152" t="str">
            <v>156 San Pedro Tugatog Meycauayan Bulacan</v>
          </cell>
        </row>
        <row r="152">
          <cell r="T152" t="str">
            <v>Odon, Dedgenes Pen</v>
          </cell>
        </row>
        <row r="152">
          <cell r="BS152" t="str">
            <v>Residential</v>
          </cell>
          <cell r="BT152" t="str">
            <v>Structure Renter</v>
          </cell>
        </row>
        <row r="152">
          <cell r="JP152">
            <v>1200</v>
          </cell>
        </row>
        <row r="152">
          <cell r="JR152" t="str">
            <v>Need Displacement</v>
          </cell>
        </row>
        <row r="152">
          <cell r="VV152" t="str">
            <v>legal-r-149</v>
          </cell>
        </row>
        <row r="153">
          <cell r="A153" t="str">
            <v>Legal</v>
          </cell>
        </row>
        <row r="153">
          <cell r="C153" t="str">
            <v>MY-007.7</v>
          </cell>
        </row>
        <row r="153">
          <cell r="E153" t="str">
            <v>156 San Pedro Tugatog Meycauayan Bulacan</v>
          </cell>
        </row>
        <row r="153">
          <cell r="AS153">
            <v>0.389495601920707</v>
          </cell>
        </row>
        <row r="153">
          <cell r="BS153" t="str">
            <v>Residential</v>
          </cell>
          <cell r="BT153" t="str">
            <v>Structure Owner</v>
          </cell>
        </row>
        <row r="153">
          <cell r="JR153" t="str">
            <v>Need Displacement</v>
          </cell>
        </row>
        <row r="153">
          <cell r="VV153" t="str">
            <v>Legal</v>
          </cell>
        </row>
        <row r="154">
          <cell r="A154" t="str">
            <v>Legal-r-153</v>
          </cell>
        </row>
        <row r="154">
          <cell r="C154" t="str">
            <v>MY-007.7</v>
          </cell>
        </row>
        <row r="154">
          <cell r="E154" t="str">
            <v>156 San Pedro Tugatog Meycauayan Bulacan</v>
          </cell>
        </row>
        <row r="154">
          <cell r="T154" t="str">
            <v>Gesto, Clarence P.</v>
          </cell>
        </row>
        <row r="154">
          <cell r="BS154" t="str">
            <v>Residential</v>
          </cell>
          <cell r="BT154" t="str">
            <v>Structure Renter</v>
          </cell>
        </row>
        <row r="154">
          <cell r="JP154">
            <v>500</v>
          </cell>
        </row>
        <row r="154">
          <cell r="JR154" t="str">
            <v>Need Displacement</v>
          </cell>
        </row>
        <row r="154">
          <cell r="VV154" t="str">
            <v>Legal-r-153</v>
          </cell>
        </row>
        <row r="155">
          <cell r="A155" t="str">
            <v>Legal-r-153</v>
          </cell>
        </row>
        <row r="155">
          <cell r="C155" t="str">
            <v>MY-007.7</v>
          </cell>
        </row>
        <row r="155">
          <cell r="E155" t="str">
            <v>156 San Pedro Tugatog Meycauayan Bulacan</v>
          </cell>
        </row>
        <row r="155">
          <cell r="T155" t="str">
            <v>Publico, Rustico Papa</v>
          </cell>
        </row>
        <row r="155">
          <cell r="BS155" t="str">
            <v>Residential</v>
          </cell>
          <cell r="BT155" t="str">
            <v>Structure Renter</v>
          </cell>
        </row>
        <row r="155">
          <cell r="JP155">
            <v>1500</v>
          </cell>
        </row>
        <row r="155">
          <cell r="JR155" t="str">
            <v>Need Displacement</v>
          </cell>
        </row>
        <row r="155">
          <cell r="VV155" t="str">
            <v>Legal-r-153</v>
          </cell>
        </row>
        <row r="156">
          <cell r="A156" t="str">
            <v>Legal-r-153</v>
          </cell>
        </row>
        <row r="156">
          <cell r="C156" t="str">
            <v>MY-007.7</v>
          </cell>
        </row>
        <row r="156">
          <cell r="E156" t="str">
            <v>156 San Pedro Tugatog Meycauayan Bulacan</v>
          </cell>
        </row>
        <row r="156">
          <cell r="T156" t="str">
            <v>Manalastas, Rosen Narciso</v>
          </cell>
        </row>
        <row r="156">
          <cell r="BS156" t="str">
            <v>Residential</v>
          </cell>
          <cell r="BT156" t="str">
            <v>Structure Renter</v>
          </cell>
        </row>
        <row r="156">
          <cell r="JP156">
            <v>1400</v>
          </cell>
        </row>
        <row r="156">
          <cell r="JR156" t="str">
            <v>Need Displacement</v>
          </cell>
        </row>
        <row r="156">
          <cell r="VV156" t="str">
            <v>Legal-r-153</v>
          </cell>
        </row>
        <row r="157">
          <cell r="A157" t="str">
            <v>Legal-r-153</v>
          </cell>
        </row>
        <row r="157">
          <cell r="C157" t="str">
            <v>MY-007.7</v>
          </cell>
        </row>
        <row r="157">
          <cell r="E157" t="str">
            <v>156 San Pedro Tugatog Meycauayan Bulacan</v>
          </cell>
        </row>
        <row r="157">
          <cell r="T157" t="str">
            <v>Odon, Jose Lastra</v>
          </cell>
        </row>
        <row r="157">
          <cell r="BS157" t="str">
            <v>Residential</v>
          </cell>
          <cell r="BT157" t="str">
            <v>Structure Renter</v>
          </cell>
        </row>
        <row r="157">
          <cell r="JP157">
            <v>500</v>
          </cell>
        </row>
        <row r="157">
          <cell r="JR157" t="str">
            <v>Need Displacement</v>
          </cell>
        </row>
        <row r="157">
          <cell r="VV157" t="str">
            <v>Legal-r-153</v>
          </cell>
        </row>
        <row r="158">
          <cell r="A158" t="str">
            <v>Legal-r-153</v>
          </cell>
        </row>
        <row r="158">
          <cell r="C158" t="str">
            <v>MY-007.7</v>
          </cell>
        </row>
        <row r="158">
          <cell r="E158" t="str">
            <v>156 San Pedro Tugatog Meycauayan Bulacan</v>
          </cell>
        </row>
        <row r="158">
          <cell r="T158" t="str">
            <v>Luteria, Ma. Alona Abolot</v>
          </cell>
        </row>
        <row r="158">
          <cell r="BS158" t="str">
            <v>Residential</v>
          </cell>
          <cell r="BT158" t="str">
            <v>Structure Renter</v>
          </cell>
        </row>
        <row r="158">
          <cell r="JP158">
            <v>200</v>
          </cell>
        </row>
        <row r="158">
          <cell r="JR158" t="str">
            <v>Need Displacement</v>
          </cell>
        </row>
        <row r="158">
          <cell r="VV158" t="str">
            <v>Legal-r-153</v>
          </cell>
        </row>
        <row r="159">
          <cell r="A159" t="str">
            <v>isf-r</v>
          </cell>
        </row>
        <row r="159">
          <cell r="C159" t="str">
            <v>MY-007.8</v>
          </cell>
        </row>
        <row r="159">
          <cell r="E159" t="str">
            <v>156 San Pedro Tugatog Meycauayan Bulacan</v>
          </cell>
        </row>
        <row r="159">
          <cell r="T159" t="str">
            <v>Publico, Rustico Papa</v>
          </cell>
        </row>
        <row r="159">
          <cell r="AS159">
            <v>1</v>
          </cell>
        </row>
        <row r="159">
          <cell r="BS159" t="str">
            <v>Mixed use</v>
          </cell>
          <cell r="BT159" t="str">
            <v>Structure Owner</v>
          </cell>
        </row>
        <row r="159">
          <cell r="JR159" t="str">
            <v>Need Displacement</v>
          </cell>
        </row>
        <row r="159">
          <cell r="KI159" t="str">
            <v>No Answer</v>
          </cell>
        </row>
        <row r="160">
          <cell r="A160" t="str">
            <v>legal</v>
          </cell>
        </row>
        <row r="160">
          <cell r="C160" t="str">
            <v>MY-008</v>
          </cell>
        </row>
        <row r="160">
          <cell r="E160" t="str">
            <v>San Pedro Subd., Tugatog, Meycauayan</v>
          </cell>
        </row>
        <row r="160">
          <cell r="AS160">
            <v>1</v>
          </cell>
        </row>
        <row r="160">
          <cell r="BS160" t="str">
            <v>Residential</v>
          </cell>
          <cell r="BT160" t="str">
            <v>Structure Owner</v>
          </cell>
        </row>
        <row r="160">
          <cell r="VV160" t="str">
            <v>legal</v>
          </cell>
        </row>
        <row r="161">
          <cell r="A161" t="str">
            <v>legal 160</v>
          </cell>
        </row>
        <row r="161">
          <cell r="C161" t="str">
            <v>MY-008.1</v>
          </cell>
        </row>
        <row r="161">
          <cell r="E161" t="str">
            <v>San Pedro Subd., Tugatog, Meycauayan</v>
          </cell>
        </row>
        <row r="161">
          <cell r="BS161" t="str">
            <v>Residential</v>
          </cell>
          <cell r="BT161" t="str">
            <v>Structure Owner</v>
          </cell>
        </row>
        <row r="161">
          <cell r="VV161" t="str">
            <v>legal 160</v>
          </cell>
        </row>
        <row r="162">
          <cell r="A162" t="str">
            <v>legal 160</v>
          </cell>
        </row>
        <row r="162">
          <cell r="C162" t="str">
            <v>MY-008.2</v>
          </cell>
        </row>
        <row r="162">
          <cell r="E162" t="str">
            <v>San Pedro Subd., Tugatog, Meycauayan</v>
          </cell>
        </row>
        <row r="162">
          <cell r="BS162" t="str">
            <v>Commercial</v>
          </cell>
          <cell r="BT162" t="str">
            <v>Structure Owner</v>
          </cell>
        </row>
        <row r="162">
          <cell r="VV162" t="str">
            <v>legal 160</v>
          </cell>
        </row>
        <row r="163">
          <cell r="A163" t="str">
            <v>legal 160</v>
          </cell>
        </row>
        <row r="163">
          <cell r="C163" t="str">
            <v>MY-008.3</v>
          </cell>
        </row>
        <row r="163">
          <cell r="E163" t="str">
            <v>San Pedro Subd., Tugatog, Meycauayan</v>
          </cell>
        </row>
        <row r="163">
          <cell r="BS163" t="str">
            <v>Commercial</v>
          </cell>
          <cell r="BT163" t="str">
            <v>Structure Owner</v>
          </cell>
        </row>
        <row r="163">
          <cell r="VV163" t="str">
            <v>legal 160</v>
          </cell>
        </row>
        <row r="164">
          <cell r="A164" t="str">
            <v>legal 160</v>
          </cell>
        </row>
        <row r="164">
          <cell r="C164" t="str">
            <v>MY-008.4</v>
          </cell>
        </row>
        <row r="164">
          <cell r="E164" t="str">
            <v>San Pedro Subd., Tugatog, Meycauayan</v>
          </cell>
        </row>
        <row r="164">
          <cell r="BS164" t="str">
            <v>Commercial</v>
          </cell>
          <cell r="BT164" t="str">
            <v>Structure Owner</v>
          </cell>
        </row>
        <row r="164">
          <cell r="VV164" t="str">
            <v>legal 160</v>
          </cell>
        </row>
        <row r="165">
          <cell r="A165" t="str">
            <v>legal 160</v>
          </cell>
        </row>
        <row r="165">
          <cell r="C165" t="str">
            <v>MY-008.5</v>
          </cell>
        </row>
        <row r="165">
          <cell r="E165" t="str">
            <v>San Pedro Subd., Tugatog, Meycauayan</v>
          </cell>
        </row>
        <row r="165">
          <cell r="BS165" t="str">
            <v>Commercial</v>
          </cell>
          <cell r="BT165" t="str">
            <v>Structure Owner</v>
          </cell>
        </row>
        <row r="165">
          <cell r="VV165" t="str">
            <v>legal 160</v>
          </cell>
        </row>
        <row r="166">
          <cell r="A166" t="str">
            <v>legal 160</v>
          </cell>
        </row>
        <row r="166">
          <cell r="C166" t="str">
            <v>MY-008.6</v>
          </cell>
        </row>
        <row r="166">
          <cell r="E166" t="str">
            <v>San Pedro Subd., Tugatog, Meycauayan</v>
          </cell>
        </row>
        <row r="166">
          <cell r="BS166" t="str">
            <v>Commercial</v>
          </cell>
          <cell r="BT166" t="str">
            <v>Structure Owner</v>
          </cell>
        </row>
        <row r="166">
          <cell r="VV166" t="str">
            <v>legal 160</v>
          </cell>
        </row>
        <row r="167">
          <cell r="A167" t="str">
            <v>legal</v>
          </cell>
        </row>
        <row r="167">
          <cell r="C167" t="str">
            <v>MY-009</v>
          </cell>
        </row>
        <row r="167">
          <cell r="E167" t="str">
            <v>674 Mulawin St., Bancal Ext., Bancal Meycauyan Bulacan</v>
          </cell>
        </row>
        <row r="167">
          <cell r="T167" t="str">
            <v>Lamug, Jonathan M.</v>
          </cell>
        </row>
        <row r="167">
          <cell r="AS167">
            <v>0.366784274193548</v>
          </cell>
        </row>
        <row r="167">
          <cell r="BS167" t="str">
            <v>Residential</v>
          </cell>
          <cell r="BT167" t="str">
            <v>Structure Owner</v>
          </cell>
        </row>
        <row r="167">
          <cell r="JP167">
            <v>3800</v>
          </cell>
        </row>
        <row r="167">
          <cell r="JR167" t="str">
            <v>Need Displacement</v>
          </cell>
        </row>
        <row r="168">
          <cell r="A168" t="str">
            <v>legal-co-167</v>
          </cell>
        </row>
        <row r="168">
          <cell r="C168" t="str">
            <v>MY-009A</v>
          </cell>
        </row>
        <row r="168">
          <cell r="E168" t="str">
            <v>674 Mulawin St., Bancal Ext., Bancal Meycauyan Bulacan</v>
          </cell>
        </row>
        <row r="168">
          <cell r="T168" t="str">
            <v>Santos, Ann Margaret L.</v>
          </cell>
        </row>
        <row r="168">
          <cell r="BS168" t="str">
            <v>Residential</v>
          </cell>
          <cell r="BT168" t="str">
            <v>Co-owner</v>
          </cell>
        </row>
        <row r="168">
          <cell r="JR168" t="str">
            <v>Need Displacement</v>
          </cell>
        </row>
        <row r="169">
          <cell r="A169" t="str">
            <v>legal</v>
          </cell>
        </row>
        <row r="169">
          <cell r="C169" t="str">
            <v>MY-010</v>
          </cell>
        </row>
        <row r="169">
          <cell r="E169" t="str">
            <v>667 Mulawin St., Bancal Ext., Bancal Meycauyan Bulacan</v>
          </cell>
        </row>
        <row r="169">
          <cell r="T169" t="str">
            <v>De Guzman, Corazon De Ramos</v>
          </cell>
        </row>
        <row r="169">
          <cell r="AS169">
            <v>1</v>
          </cell>
        </row>
        <row r="169">
          <cell r="BS169" t="str">
            <v>Residential</v>
          </cell>
          <cell r="BT169" t="str">
            <v>Structure Owner</v>
          </cell>
        </row>
        <row r="169">
          <cell r="JR169" t="str">
            <v>Need Displacement</v>
          </cell>
        </row>
        <row r="169">
          <cell r="VV169" t="str">
            <v>legal</v>
          </cell>
        </row>
        <row r="170">
          <cell r="A170" t="str">
            <v>legal-r-169</v>
          </cell>
        </row>
        <row r="170">
          <cell r="C170" t="str">
            <v>MY-010-A</v>
          </cell>
        </row>
        <row r="170">
          <cell r="E170" t="str">
            <v>667 Mulawin St., Bancal Ext., Bancal Meycauyan Bulacan</v>
          </cell>
        </row>
        <row r="170">
          <cell r="T170" t="str">
            <v>Leonilo P. Geronimo</v>
          </cell>
        </row>
        <row r="170">
          <cell r="BS170" t="str">
            <v>Residential</v>
          </cell>
          <cell r="BT170" t="str">
            <v>Structure Renter</v>
          </cell>
        </row>
        <row r="170">
          <cell r="JP170">
            <v>700</v>
          </cell>
        </row>
        <row r="170">
          <cell r="JR170" t="str">
            <v>Need Displacement</v>
          </cell>
        </row>
        <row r="170">
          <cell r="VV170" t="str">
            <v>legal-r-169</v>
          </cell>
        </row>
        <row r="171">
          <cell r="A171" t="str">
            <v>legal-r-169</v>
          </cell>
        </row>
        <row r="171">
          <cell r="C171" t="str">
            <v>MY-010-B</v>
          </cell>
        </row>
        <row r="171">
          <cell r="E171" t="str">
            <v>667 Mulawin St., Bancal Ext., Bancal Meycauyan Bulacan</v>
          </cell>
        </row>
        <row r="171">
          <cell r="T171" t="str">
            <v>Ramirez, Angelito Bugoy</v>
          </cell>
        </row>
        <row r="171">
          <cell r="BS171" t="str">
            <v>Residential</v>
          </cell>
          <cell r="BT171" t="str">
            <v>Structure Renter</v>
          </cell>
        </row>
        <row r="171">
          <cell r="JP171">
            <v>1700</v>
          </cell>
        </row>
        <row r="171">
          <cell r="JR171" t="str">
            <v>Need Displacement</v>
          </cell>
        </row>
        <row r="171">
          <cell r="VV171" t="str">
            <v>legal-r-169</v>
          </cell>
        </row>
        <row r="172">
          <cell r="A172" t="str">
            <v>legal-r-169</v>
          </cell>
        </row>
        <row r="172">
          <cell r="C172" t="str">
            <v>MY-010-C</v>
          </cell>
        </row>
        <row r="172">
          <cell r="E172" t="str">
            <v>667 Mulawin St., Bancal Ext., Bancal Meycauyan Bulacan</v>
          </cell>
        </row>
        <row r="172">
          <cell r="T172" t="str">
            <v>Funa, Robert De Guzman</v>
          </cell>
        </row>
        <row r="172">
          <cell r="BS172" t="str">
            <v>Residential</v>
          </cell>
          <cell r="BT172" t="str">
            <v>Structure Renter</v>
          </cell>
        </row>
        <row r="172">
          <cell r="JP172">
            <v>1200</v>
          </cell>
        </row>
        <row r="172">
          <cell r="JR172" t="str">
            <v>Need Displacement</v>
          </cell>
        </row>
        <row r="172">
          <cell r="VV172" t="str">
            <v>legal-r-169</v>
          </cell>
        </row>
        <row r="173">
          <cell r="A173" t="str">
            <v>legal-r-169</v>
          </cell>
        </row>
        <row r="173">
          <cell r="C173" t="str">
            <v>MY-010-D</v>
          </cell>
        </row>
        <row r="173">
          <cell r="E173" t="str">
            <v>667 Mulawin St., Bancal Ext., Bancal Meycauyan Bulacan</v>
          </cell>
        </row>
        <row r="173">
          <cell r="T173" t="str">
            <v>Veruen, Manuel Matias</v>
          </cell>
        </row>
        <row r="173">
          <cell r="BS173" t="str">
            <v>Residential</v>
          </cell>
          <cell r="BT173" t="str">
            <v>Structure Renter</v>
          </cell>
        </row>
        <row r="173">
          <cell r="JP173">
            <v>460</v>
          </cell>
        </row>
        <row r="173">
          <cell r="JR173" t="str">
            <v>Need Displacement</v>
          </cell>
        </row>
        <row r="173">
          <cell r="VV173" t="str">
            <v>legal-r-169</v>
          </cell>
        </row>
        <row r="174">
          <cell r="A174" t="str">
            <v>legal-r-169</v>
          </cell>
        </row>
        <row r="174">
          <cell r="C174" t="str">
            <v>MY-010-E</v>
          </cell>
        </row>
        <row r="174">
          <cell r="E174" t="str">
            <v>667 Mulawin St., Bancal Ext., Bancal Meycauyan Bulacan</v>
          </cell>
        </row>
        <row r="174">
          <cell r="T174" t="str">
            <v>Roxas, Cynthia Silverio</v>
          </cell>
        </row>
        <row r="174">
          <cell r="BS174" t="str">
            <v>Residential</v>
          </cell>
          <cell r="BT174" t="str">
            <v>Structure Renter</v>
          </cell>
        </row>
        <row r="174">
          <cell r="JP174">
            <v>500</v>
          </cell>
        </row>
        <row r="174">
          <cell r="JR174" t="str">
            <v>Need Displacement</v>
          </cell>
        </row>
        <row r="174">
          <cell r="VV174" t="str">
            <v>legal-r-169</v>
          </cell>
        </row>
        <row r="175">
          <cell r="A175" t="str">
            <v>legal-r-169</v>
          </cell>
        </row>
        <row r="175">
          <cell r="C175" t="str">
            <v>MY-010-F</v>
          </cell>
        </row>
        <row r="175">
          <cell r="E175" t="str">
            <v>667 Mulawin St., Bancal Ext., Bancal Meycauyan Bulacan</v>
          </cell>
        </row>
        <row r="175">
          <cell r="T175" t="str">
            <v>Guiambangan, Marco Abdullah</v>
          </cell>
        </row>
        <row r="175">
          <cell r="BS175" t="str">
            <v>Residential</v>
          </cell>
          <cell r="BT175" t="str">
            <v>Structure Renter</v>
          </cell>
        </row>
        <row r="175">
          <cell r="JP175">
            <v>600</v>
          </cell>
        </row>
        <row r="175">
          <cell r="JR175" t="str">
            <v>Need Displacement</v>
          </cell>
        </row>
        <row r="175">
          <cell r="VV175" t="str">
            <v>legal-r-169</v>
          </cell>
        </row>
        <row r="176">
          <cell r="A176" t="str">
            <v>legal</v>
          </cell>
        </row>
        <row r="176">
          <cell r="C176" t="str">
            <v>MY-012</v>
          </cell>
        </row>
        <row r="176">
          <cell r="E176" t="str">
            <v>678 Mulawin St., Bancal Ext., Bancal Meycauyan Bulacan</v>
          </cell>
        </row>
        <row r="176">
          <cell r="AS176">
            <v>1</v>
          </cell>
        </row>
        <row r="176">
          <cell r="BS176" t="str">
            <v>Residential</v>
          </cell>
          <cell r="BT176" t="str">
            <v>Structure Owner</v>
          </cell>
        </row>
        <row r="176">
          <cell r="JR176" t="str">
            <v>Need Displacement</v>
          </cell>
        </row>
        <row r="176">
          <cell r="VV176" t="str">
            <v>legal</v>
          </cell>
        </row>
        <row r="177">
          <cell r="A177" t="str">
            <v>legal-co-176</v>
          </cell>
        </row>
        <row r="177">
          <cell r="C177" t="str">
            <v>MY-012A</v>
          </cell>
        </row>
        <row r="177">
          <cell r="E177" t="str">
            <v>678 Mulawin St., Bancal Ext., Bancal Meycauyan Bulacan</v>
          </cell>
        </row>
        <row r="177">
          <cell r="T177" t="str">
            <v>De Llota, Imelda Olivares</v>
          </cell>
        </row>
        <row r="177">
          <cell r="BS177" t="str">
            <v>Residential</v>
          </cell>
          <cell r="BT177" t="str">
            <v>Co-owner</v>
          </cell>
        </row>
        <row r="177">
          <cell r="VV177" t="str">
            <v>legal-co-176</v>
          </cell>
        </row>
        <row r="178">
          <cell r="A178" t="str">
            <v> legal-co</v>
          </cell>
        </row>
        <row r="178">
          <cell r="C178" t="str">
            <v>MY-011</v>
          </cell>
        </row>
        <row r="178">
          <cell r="E178" t="str">
            <v>678 Mulawin St., Bancal Ext., Bancal Meycauyan Bulacan</v>
          </cell>
        </row>
        <row r="178">
          <cell r="T178" t="str">
            <v>Dellota, Lanie Olivares</v>
          </cell>
        </row>
        <row r="178">
          <cell r="AS178">
            <v>1</v>
          </cell>
        </row>
        <row r="178">
          <cell r="BS178" t="str">
            <v>Residential</v>
          </cell>
          <cell r="BT178" t="str">
            <v>Structure Owner</v>
          </cell>
        </row>
        <row r="178">
          <cell r="JR178" t="str">
            <v>Need Displacement</v>
          </cell>
        </row>
        <row r="179">
          <cell r="A179" t="str">
            <v>legal</v>
          </cell>
        </row>
        <row r="179">
          <cell r="C179" t="str">
            <v>MY-013A</v>
          </cell>
        </row>
        <row r="179">
          <cell r="E179" t="str">
            <v>683 Mulawin St., Bancal Ext., Bancal Meycauyan Bulacan</v>
          </cell>
        </row>
        <row r="179">
          <cell r="T179" t="str">
            <v>Olivares, Flora Ramos</v>
          </cell>
        </row>
        <row r="179">
          <cell r="AS179">
            <v>1</v>
          </cell>
        </row>
        <row r="179">
          <cell r="BS179" t="str">
            <v>Residential</v>
          </cell>
          <cell r="BT179" t="str">
            <v>Structure Owner</v>
          </cell>
        </row>
        <row r="179">
          <cell r="JR179" t="str">
            <v>Need Displacement</v>
          </cell>
        </row>
        <row r="180">
          <cell r="A180" t="str">
            <v>legal-co-179</v>
          </cell>
        </row>
        <row r="180">
          <cell r="C180" t="str">
            <v>MY-013</v>
          </cell>
        </row>
        <row r="180">
          <cell r="E180" t="str">
            <v>683 Mulawin St., Bancal Ext., Bancal Meycauyan Bulacan</v>
          </cell>
        </row>
        <row r="180">
          <cell r="T180" t="str">
            <v>Olivares, Rogelio Ramos</v>
          </cell>
        </row>
        <row r="180">
          <cell r="BS180" t="str">
            <v>Residential</v>
          </cell>
          <cell r="BT180" t="str">
            <v>Co-owner</v>
          </cell>
        </row>
        <row r="180">
          <cell r="VV180" t="str">
            <v>legal-co-179</v>
          </cell>
        </row>
        <row r="181">
          <cell r="A181" t="str">
            <v>legal-co-179</v>
          </cell>
        </row>
        <row r="181">
          <cell r="C181" t="str">
            <v>MY-013B</v>
          </cell>
        </row>
        <row r="181">
          <cell r="E181" t="str">
            <v>683 Mulawin St., Bancal Ext., Bancal Meycauyan Bulacan</v>
          </cell>
        </row>
        <row r="181">
          <cell r="T181" t="str">
            <v>Olivares, Romeo Ramos</v>
          </cell>
        </row>
        <row r="181">
          <cell r="BS181" t="str">
            <v>Residential</v>
          </cell>
          <cell r="BT181" t="str">
            <v>Co-owner</v>
          </cell>
        </row>
        <row r="181">
          <cell r="VV181" t="str">
            <v>legal-co-179</v>
          </cell>
        </row>
        <row r="182">
          <cell r="A182" t="str">
            <v>legal</v>
          </cell>
        </row>
        <row r="182">
          <cell r="C182" t="str">
            <v>MY-014</v>
          </cell>
        </row>
        <row r="182">
          <cell r="E182" t="str">
            <v>683 Mulawin St., Bancal Ext., Bancal Meycauyan Bulacan</v>
          </cell>
        </row>
        <row r="182">
          <cell r="T182" t="str">
            <v>Ramos, Enrico Concepcion</v>
          </cell>
        </row>
        <row r="182">
          <cell r="AS182">
            <v>1</v>
          </cell>
        </row>
        <row r="182">
          <cell r="BS182" t="str">
            <v>Residential</v>
          </cell>
          <cell r="BT182" t="str">
            <v>Structure Owner</v>
          </cell>
        </row>
        <row r="182">
          <cell r="JR182" t="str">
            <v>Need Displacement</v>
          </cell>
        </row>
        <row r="183">
          <cell r="A183" t="str">
            <v>legal-sh-182</v>
          </cell>
        </row>
        <row r="183">
          <cell r="C183" t="str">
            <v>MY-014A</v>
          </cell>
        </row>
        <row r="183">
          <cell r="E183" t="str">
            <v>683 Mulawin St., Bancal Ext., Bancal Meycauyan Bulacan</v>
          </cell>
        </row>
        <row r="183">
          <cell r="T183" t="str">
            <v>Ramos, Ramil C.</v>
          </cell>
        </row>
        <row r="183">
          <cell r="BS183" t="str">
            <v>Residential</v>
          </cell>
          <cell r="BT183" t="str">
            <v>Sharer</v>
          </cell>
        </row>
        <row r="183">
          <cell r="JR183" t="str">
            <v>Need Displacement</v>
          </cell>
        </row>
        <row r="183">
          <cell r="VV183" t="str">
            <v>legal-sh-182</v>
          </cell>
        </row>
        <row r="184">
          <cell r="A184" t="str">
            <v>legal-sh-182</v>
          </cell>
        </row>
        <row r="184">
          <cell r="C184" t="str">
            <v>MY-014B</v>
          </cell>
        </row>
        <row r="184">
          <cell r="E184" t="str">
            <v>683 Mulawin St., Bancal Ext., Bancal Meycauyan Bulacan</v>
          </cell>
        </row>
        <row r="184">
          <cell r="T184" t="str">
            <v>Ramos, Lauro C.</v>
          </cell>
        </row>
        <row r="184">
          <cell r="BS184" t="str">
            <v>Residential</v>
          </cell>
          <cell r="BT184" t="str">
            <v>Sharer</v>
          </cell>
        </row>
        <row r="184">
          <cell r="JR184" t="str">
            <v>Need Displacement</v>
          </cell>
        </row>
        <row r="184">
          <cell r="VV184" t="str">
            <v>legal-sh-182</v>
          </cell>
        </row>
        <row r="185">
          <cell r="A185" t="str">
            <v>legal</v>
          </cell>
        </row>
        <row r="185">
          <cell r="C185" t="str">
            <v>MY-015</v>
          </cell>
        </row>
        <row r="185">
          <cell r="E185" t="str">
            <v>694 Mulawin St., Bancal Ext., Bancal Meycauyan Bulacan</v>
          </cell>
        </row>
        <row r="185">
          <cell r="T185" t="str">
            <v>Santos, Lucita S.</v>
          </cell>
        </row>
        <row r="185">
          <cell r="AS185">
            <v>1</v>
          </cell>
        </row>
        <row r="185">
          <cell r="BS185" t="str">
            <v>Residential</v>
          </cell>
          <cell r="BT185" t="str">
            <v>Structure Owner</v>
          </cell>
        </row>
        <row r="185">
          <cell r="JR185" t="str">
            <v>Need Displacement</v>
          </cell>
        </row>
        <row r="186">
          <cell r="A186" t="str">
            <v>legal-L</v>
          </cell>
        </row>
        <row r="186">
          <cell r="C186" t="str">
            <v>MY-016A</v>
          </cell>
        </row>
        <row r="186">
          <cell r="E186" t="str">
            <v>670 Mulawin St., Bancal Ext., Bancal Meycauyan Bulacan</v>
          </cell>
        </row>
        <row r="186">
          <cell r="AS186">
            <v>1</v>
          </cell>
        </row>
        <row r="186">
          <cell r="BS186" t="str">
            <v>Residential</v>
          </cell>
          <cell r="BT186" t="str">
            <v>Land Owner</v>
          </cell>
        </row>
        <row r="186">
          <cell r="VV186" t="str">
            <v>legal-L</v>
          </cell>
        </row>
        <row r="187">
          <cell r="A187" t="str">
            <v>legal 186</v>
          </cell>
        </row>
        <row r="187">
          <cell r="C187" t="str">
            <v>MY-016</v>
          </cell>
        </row>
        <row r="187">
          <cell r="E187" t="str">
            <v>670 Mulawin St., Bancal Ext., Bancal Meycauyan Bulacan</v>
          </cell>
        </row>
        <row r="187">
          <cell r="T187" t="str">
            <v>Pedro S. Ramos Jr</v>
          </cell>
        </row>
        <row r="187">
          <cell r="BS187" t="str">
            <v>Residential</v>
          </cell>
          <cell r="BT187" t="str">
            <v>Structure Owner</v>
          </cell>
        </row>
        <row r="187">
          <cell r="JR187" t="str">
            <v>Need Displacement</v>
          </cell>
        </row>
        <row r="188">
          <cell r="A188" t="str">
            <v>legal</v>
          </cell>
        </row>
        <row r="188">
          <cell r="C188" t="str">
            <v>MY-017</v>
          </cell>
        </row>
        <row r="188">
          <cell r="E188" t="str">
            <v>674 Mulawin St., Bancal Ext., Bancal Meycauyan Bulacan</v>
          </cell>
        </row>
        <row r="188">
          <cell r="AS188">
            <v>1</v>
          </cell>
        </row>
        <row r="188">
          <cell r="BS188" t="str">
            <v>Residential</v>
          </cell>
          <cell r="BT188" t="str">
            <v>Structure Owner</v>
          </cell>
        </row>
        <row r="188">
          <cell r="VV188" t="str">
            <v>legal</v>
          </cell>
        </row>
        <row r="189">
          <cell r="A189" t="str">
            <v>legal-co-188</v>
          </cell>
        </row>
        <row r="189">
          <cell r="C189" t="str">
            <v>MY-017</v>
          </cell>
        </row>
        <row r="189">
          <cell r="E189" t="str">
            <v>674 Mulawin St., Bancal Ext., Bancal Meycauyan Bulacan</v>
          </cell>
        </row>
        <row r="189">
          <cell r="T189" t="str">
            <v>Garcia, Sonny Bernardino</v>
          </cell>
        </row>
        <row r="189">
          <cell r="BS189" t="str">
            <v>Residential</v>
          </cell>
          <cell r="BT189" t="str">
            <v>Co-owner</v>
          </cell>
        </row>
        <row r="189">
          <cell r="JR189" t="str">
            <v>Need Displacement</v>
          </cell>
        </row>
        <row r="189">
          <cell r="VV189" t="str">
            <v>legal-co-188</v>
          </cell>
        </row>
        <row r="190">
          <cell r="A190" t="str">
            <v>legal-co-188</v>
          </cell>
        </row>
        <row r="190">
          <cell r="C190" t="str">
            <v>MY-017A</v>
          </cell>
        </row>
        <row r="190">
          <cell r="E190" t="str">
            <v>674 Mulawin St., Bancal Ext., Bancal Meycauyan Bulacan</v>
          </cell>
        </row>
        <row r="190">
          <cell r="T190" t="str">
            <v>Bernardino, Ronnie Herbieto</v>
          </cell>
        </row>
        <row r="190">
          <cell r="BS190" t="str">
            <v>Residential</v>
          </cell>
          <cell r="BT190" t="str">
            <v>Co-owner</v>
          </cell>
        </row>
        <row r="190">
          <cell r="JR190" t="str">
            <v>Need Displacement</v>
          </cell>
        </row>
        <row r="190">
          <cell r="VV190" t="str">
            <v>legal-co-188</v>
          </cell>
        </row>
        <row r="191">
          <cell r="A191" t="str">
            <v> legal-co</v>
          </cell>
        </row>
        <row r="191">
          <cell r="C191" t="str">
            <v>MY-018</v>
          </cell>
        </row>
        <row r="191">
          <cell r="E191" t="str">
            <v>674 Mulawin St., Bancal Ext., Bancal Meycauyan Bulacan</v>
          </cell>
        </row>
        <row r="191">
          <cell r="T191" t="str">
            <v>Jingco, Rosallie Antonio</v>
          </cell>
        </row>
        <row r="191">
          <cell r="BS191" t="str">
            <v>Residential</v>
          </cell>
          <cell r="BT191" t="str">
            <v>Co-owner</v>
          </cell>
        </row>
        <row r="191">
          <cell r="JR191" t="str">
            <v>Need Displacement</v>
          </cell>
        </row>
        <row r="191">
          <cell r="VV191" t="str">
            <v> legal-co</v>
          </cell>
        </row>
        <row r="192">
          <cell r="A192" t="str">
            <v>legal</v>
          </cell>
        </row>
        <row r="192">
          <cell r="C192" t="str">
            <v>MY-020</v>
          </cell>
        </row>
        <row r="192">
          <cell r="E192" t="str">
            <v>684 Mulawin St., Bancal Ext., Bancal Meycauyan Bulacan</v>
          </cell>
        </row>
        <row r="192">
          <cell r="T192" t="str">
            <v>Nueva, Susana Bernardino</v>
          </cell>
        </row>
        <row r="192">
          <cell r="AS192">
            <v>0.210526315789474</v>
          </cell>
        </row>
        <row r="192">
          <cell r="BS192" t="str">
            <v>Residential</v>
          </cell>
          <cell r="BT192" t="str">
            <v>Structure Owner</v>
          </cell>
        </row>
        <row r="192">
          <cell r="JR192" t="str">
            <v>Can Stay</v>
          </cell>
        </row>
        <row r="192">
          <cell r="VV192" t="str">
            <v>legal</v>
          </cell>
        </row>
        <row r="193">
          <cell r="A193" t="str">
            <v> legal</v>
          </cell>
        </row>
        <row r="193">
          <cell r="C193" t="str">
            <v>MY-019</v>
          </cell>
        </row>
        <row r="193">
          <cell r="E193" t="str">
            <v>684 Mulawin St., Bancal Ext., Bancal Meycauyan Bulacan</v>
          </cell>
        </row>
        <row r="193">
          <cell r="T193" t="str">
            <v>Nueva, Rommel Bernardino</v>
          </cell>
        </row>
        <row r="193">
          <cell r="AS193">
            <v>0.122295581513459</v>
          </cell>
        </row>
        <row r="193">
          <cell r="BS193" t="str">
            <v>Residential</v>
          </cell>
          <cell r="BT193" t="str">
            <v>Structure Owner</v>
          </cell>
        </row>
        <row r="193">
          <cell r="JR193" t="str">
            <v>Can Stay</v>
          </cell>
        </row>
        <row r="193">
          <cell r="VV193" t="str">
            <v> legal</v>
          </cell>
        </row>
        <row r="194">
          <cell r="A194" t="str">
            <v>legal</v>
          </cell>
        </row>
        <row r="194">
          <cell r="C194" t="str">
            <v>MY-021</v>
          </cell>
        </row>
        <row r="194">
          <cell r="E194" t="str">
            <v>687 Mulawin St., Bancal Ext., Bancal Meycauyan Bulacan</v>
          </cell>
        </row>
        <row r="194">
          <cell r="AS194">
            <v>0.45</v>
          </cell>
        </row>
        <row r="194">
          <cell r="BS194" t="str">
            <v>Residential</v>
          </cell>
          <cell r="BT194" t="str">
            <v>Structure Owner</v>
          </cell>
        </row>
        <row r="194">
          <cell r="VV194" t="str">
            <v>legal</v>
          </cell>
        </row>
        <row r="195">
          <cell r="A195" t="str">
            <v>legal-r-194</v>
          </cell>
        </row>
        <row r="195">
          <cell r="C195" t="str">
            <v>MY-021A</v>
          </cell>
        </row>
        <row r="195">
          <cell r="E195" t="str">
            <v>687 Mulawin St., Bancal Ext., Bancal Meycauyan Bulacan</v>
          </cell>
        </row>
        <row r="195">
          <cell r="T195" t="str">
            <v>Tabanao, Delberto Batomalaki</v>
          </cell>
        </row>
        <row r="195">
          <cell r="BS195" t="str">
            <v>Residential</v>
          </cell>
          <cell r="BT195" t="str">
            <v>Structure Renter</v>
          </cell>
        </row>
        <row r="195">
          <cell r="JR195" t="str">
            <v>Need Displacement</v>
          </cell>
        </row>
        <row r="195">
          <cell r="VV195" t="str">
            <v>legal-r-194</v>
          </cell>
        </row>
        <row r="196">
          <cell r="A196" t="str">
            <v>legal-r-194</v>
          </cell>
        </row>
        <row r="196">
          <cell r="C196" t="str">
            <v>MY-021B</v>
          </cell>
        </row>
        <row r="196">
          <cell r="E196" t="str">
            <v>687 Mulawin St., Bancal Ext., Bancal Meycauyan Bulacan</v>
          </cell>
        </row>
        <row r="196">
          <cell r="T196" t="str">
            <v>Diaz, Edwin G.</v>
          </cell>
        </row>
        <row r="196">
          <cell r="BS196" t="str">
            <v>Mixed use</v>
          </cell>
          <cell r="BT196" t="str">
            <v>Structure Renter</v>
          </cell>
        </row>
        <row r="196">
          <cell r="JR196" t="str">
            <v>Need Displacement</v>
          </cell>
        </row>
        <row r="197">
          <cell r="A197" t="str">
            <v>legal</v>
          </cell>
        </row>
        <row r="197">
          <cell r="C197" t="str">
            <v>MY-022</v>
          </cell>
        </row>
        <row r="197">
          <cell r="E197" t="str">
            <v>687 Mulawin St., Bancal Ext., Bancal Meycauyan Bulacan</v>
          </cell>
        </row>
        <row r="197">
          <cell r="T197" t="str">
            <v>Sarmiento, Heneroso</v>
          </cell>
        </row>
        <row r="197">
          <cell r="AS197">
            <v>0.226790530416542</v>
          </cell>
        </row>
        <row r="197">
          <cell r="BS197" t="str">
            <v>Residential</v>
          </cell>
          <cell r="BT197" t="str">
            <v>Structure Owner</v>
          </cell>
        </row>
        <row r="197">
          <cell r="JR197" t="str">
            <v>Can Stay</v>
          </cell>
        </row>
        <row r="197">
          <cell r="VV197" t="str">
            <v>legal</v>
          </cell>
        </row>
        <row r="198">
          <cell r="A198" t="str">
            <v>legal-r-197</v>
          </cell>
        </row>
        <row r="198">
          <cell r="C198" t="str">
            <v>MY-022A</v>
          </cell>
        </row>
        <row r="198">
          <cell r="E198" t="str">
            <v>687 Mulawin St., Bancal Ext., Bancal Meycauyan Bulacan</v>
          </cell>
        </row>
        <row r="198">
          <cell r="T198" t="str">
            <v>Batomalaki, Crisanto Dionaldo</v>
          </cell>
        </row>
        <row r="198">
          <cell r="BS198" t="str">
            <v>Residential</v>
          </cell>
          <cell r="BT198" t="str">
            <v>Structure Renter</v>
          </cell>
        </row>
        <row r="198">
          <cell r="JR198" t="str">
            <v>Need Displacement</v>
          </cell>
        </row>
        <row r="198">
          <cell r="VV198" t="str">
            <v>legal-r-197</v>
          </cell>
        </row>
        <row r="199">
          <cell r="A199" t="str">
            <v>legal-r-197</v>
          </cell>
        </row>
        <row r="199">
          <cell r="C199" t="str">
            <v>MY-022B</v>
          </cell>
        </row>
        <row r="199">
          <cell r="E199" t="str">
            <v>687 Mulawin St., Bancal Ext., Bancal Meycauyan Bulacan</v>
          </cell>
        </row>
        <row r="199">
          <cell r="T199" t="str">
            <v>Danao, Pio M.</v>
          </cell>
        </row>
        <row r="199">
          <cell r="BS199" t="str">
            <v>Residential</v>
          </cell>
          <cell r="BT199" t="str">
            <v>Structure Renter</v>
          </cell>
        </row>
        <row r="199">
          <cell r="JP199">
            <v>1000</v>
          </cell>
        </row>
        <row r="199">
          <cell r="JR199" t="str">
            <v>Need Displacement</v>
          </cell>
        </row>
        <row r="199">
          <cell r="VV199" t="str">
            <v>legal-r-197</v>
          </cell>
        </row>
        <row r="200">
          <cell r="A200" t="str">
            <v>legal</v>
          </cell>
        </row>
        <row r="200">
          <cell r="C200" t="str">
            <v>MY-023</v>
          </cell>
        </row>
        <row r="200">
          <cell r="E200" t="str">
            <v>689 Mulawin St., Bancal Ext., Bancal Meycauyan Bulacan</v>
          </cell>
        </row>
        <row r="200">
          <cell r="T200" t="str">
            <v>Lacsina, Melanie </v>
          </cell>
        </row>
        <row r="200">
          <cell r="AS200">
            <v>1</v>
          </cell>
        </row>
        <row r="200">
          <cell r="BS200" t="str">
            <v>Residential</v>
          </cell>
          <cell r="BT200" t="str">
            <v>Structure Owner</v>
          </cell>
        </row>
        <row r="200">
          <cell r="JR200" t="str">
            <v>Need Displacement</v>
          </cell>
        </row>
        <row r="201">
          <cell r="A201" t="str">
            <v>legal</v>
          </cell>
        </row>
        <row r="201">
          <cell r="C201" t="str">
            <v>MY-025</v>
          </cell>
        </row>
        <row r="201">
          <cell r="E201" t="str">
            <v>684 Mulawin St., Bancal Ext., Bancal Meycauyan Bulacan</v>
          </cell>
        </row>
        <row r="201">
          <cell r="BS201" t="str">
            <v>Residential</v>
          </cell>
          <cell r="BT201" t="str">
            <v>Structure Owner</v>
          </cell>
        </row>
        <row r="201">
          <cell r="JR201" t="str">
            <v>Can Stay</v>
          </cell>
        </row>
        <row r="201">
          <cell r="VV201" t="str">
            <v>legal</v>
          </cell>
        </row>
        <row r="202">
          <cell r="A202" t="str">
            <v>isf</v>
          </cell>
        </row>
        <row r="202">
          <cell r="C202" t="str">
            <v>MY-024</v>
          </cell>
        </row>
        <row r="202">
          <cell r="E202" t="str">
            <v>684 Mulawin St., Bancal Ext., Bancal Meycauyan Bulacan</v>
          </cell>
        </row>
        <row r="202">
          <cell r="T202" t="str">
            <v>Birung, Erlinda Co</v>
          </cell>
        </row>
        <row r="202">
          <cell r="BS202" t="str">
            <v>Residential</v>
          </cell>
          <cell r="BT202" t="str">
            <v>Structure Owner</v>
          </cell>
        </row>
        <row r="202">
          <cell r="JR202" t="str">
            <v>Need Displacement</v>
          </cell>
        </row>
        <row r="202">
          <cell r="KI202" t="str">
            <v>Cash Compensation/ Balik Probinsiya Program</v>
          </cell>
        </row>
        <row r="203">
          <cell r="A203" t="str">
            <v>isf-co-202</v>
          </cell>
        </row>
        <row r="203">
          <cell r="C203" t="str">
            <v>MY-024A</v>
          </cell>
        </row>
        <row r="203">
          <cell r="E203" t="str">
            <v>684 Mulawin St., Bancal Ext., Bancal Meycauyan Bulacan</v>
          </cell>
        </row>
        <row r="203">
          <cell r="T203" t="str">
            <v>Co, Maria Ada</v>
          </cell>
        </row>
        <row r="203">
          <cell r="BS203" t="str">
            <v>Residential</v>
          </cell>
          <cell r="BT203" t="str">
            <v>Structure Owner</v>
          </cell>
        </row>
        <row r="203">
          <cell r="JR203" t="str">
            <v>Need Displacement</v>
          </cell>
        </row>
        <row r="203">
          <cell r="KI203" t="str">
            <v>Cash Compensation/ Balik Probinsiya Program</v>
          </cell>
        </row>
        <row r="204">
          <cell r="A204" t="str">
            <v>isf-co-202</v>
          </cell>
        </row>
        <row r="204">
          <cell r="C204" t="str">
            <v>MY-024B</v>
          </cell>
        </row>
        <row r="204">
          <cell r="E204" t="str">
            <v>684 Mulawin St., Bancal Ext., Bancal Meycauyan Bulacan</v>
          </cell>
        </row>
        <row r="204">
          <cell r="T204" t="str">
            <v>Rebecca Garga</v>
          </cell>
        </row>
        <row r="204">
          <cell r="BS204" t="str">
            <v>Residential</v>
          </cell>
          <cell r="BT204" t="str">
            <v>Co-owner</v>
          </cell>
        </row>
        <row r="204">
          <cell r="JR204" t="str">
            <v>Need Displacement</v>
          </cell>
        </row>
        <row r="204">
          <cell r="KI204" t="str">
            <v>Cash Compensation</v>
          </cell>
        </row>
        <row r="205">
          <cell r="A205" t="str">
            <v>isf-co-202</v>
          </cell>
        </row>
        <row r="205">
          <cell r="C205" t="str">
            <v>MY-024C</v>
          </cell>
        </row>
        <row r="205">
          <cell r="E205" t="str">
            <v>684 Mulawin St., Bancal Ext., Bancal Meycauyan Bulacan</v>
          </cell>
        </row>
        <row r="205">
          <cell r="T205" t="str">
            <v>Co, Pepito General</v>
          </cell>
        </row>
        <row r="205">
          <cell r="BS205" t="str">
            <v>Residential</v>
          </cell>
          <cell r="BT205" t="str">
            <v>Co-owner</v>
          </cell>
        </row>
        <row r="205">
          <cell r="JR205" t="str">
            <v>Need Displacement</v>
          </cell>
        </row>
        <row r="206">
          <cell r="A206" t="str">
            <v>isf</v>
          </cell>
        </row>
        <row r="206">
          <cell r="C206" t="str">
            <v>MY-026</v>
          </cell>
        </row>
        <row r="206">
          <cell r="E206" t="str">
            <v>684 Mulawin St., Bancal Ext., Bancal Meycauyan Bulacan</v>
          </cell>
        </row>
        <row r="206">
          <cell r="T206" t="str">
            <v>Servallos, Albert Berdida</v>
          </cell>
        </row>
        <row r="206">
          <cell r="BS206" t="str">
            <v>Residential</v>
          </cell>
          <cell r="BT206" t="str">
            <v>Structure Owner</v>
          </cell>
        </row>
        <row r="206">
          <cell r="JR206" t="str">
            <v>Need Displacement</v>
          </cell>
        </row>
        <row r="206">
          <cell r="KI206" t="str">
            <v>Cash Compensation/ Balik Probinsiya Program</v>
          </cell>
        </row>
        <row r="207">
          <cell r="A207" t="str">
            <v>isf</v>
          </cell>
        </row>
        <row r="207">
          <cell r="C207" t="str">
            <v>MY-027</v>
          </cell>
        </row>
        <row r="207">
          <cell r="E207" t="str">
            <v>684 Mulawin St., Bancal Ext., Bancal Meycauyan Bulacan</v>
          </cell>
        </row>
        <row r="207">
          <cell r="T207" t="str">
            <v>Cruz, Emmanuel v.</v>
          </cell>
        </row>
        <row r="207">
          <cell r="BS207" t="str">
            <v>Residential</v>
          </cell>
          <cell r="BT207" t="str">
            <v>Structure Owner</v>
          </cell>
        </row>
        <row r="207">
          <cell r="JR207" t="str">
            <v>Need Displacement</v>
          </cell>
        </row>
        <row r="207">
          <cell r="KI207" t="str">
            <v>Cash Compensation/ Balik Probinsiya Program</v>
          </cell>
        </row>
        <row r="208">
          <cell r="A208" t="str">
            <v>isf</v>
          </cell>
        </row>
        <row r="208">
          <cell r="C208" t="str">
            <v>MY-028</v>
          </cell>
        </row>
        <row r="208">
          <cell r="E208" t="str">
            <v>684 Mulawin St., Bancal Ext., Bancal Meycauyan Bulacan</v>
          </cell>
        </row>
        <row r="208">
          <cell r="T208" t="str">
            <v>Dela Cruz, Roque P.</v>
          </cell>
        </row>
        <row r="208">
          <cell r="BS208" t="str">
            <v>Mixed use</v>
          </cell>
          <cell r="BT208" t="str">
            <v>Structure Owner</v>
          </cell>
        </row>
        <row r="208">
          <cell r="JR208" t="str">
            <v>Can Stay</v>
          </cell>
        </row>
        <row r="208">
          <cell r="KI208" t="str">
            <v>Cash Compensation</v>
          </cell>
        </row>
        <row r="209">
          <cell r="A209" t="str">
            <v>isf</v>
          </cell>
        </row>
        <row r="209">
          <cell r="C209" t="str">
            <v>MY-029</v>
          </cell>
        </row>
        <row r="209">
          <cell r="E209" t="str">
            <v>684 Mulawin St., Bancal Ext., Bancal Meycauyan Bulacan</v>
          </cell>
        </row>
        <row r="209">
          <cell r="T209" t="str">
            <v>Lorenzo, Fernando R.</v>
          </cell>
        </row>
        <row r="209">
          <cell r="BS209" t="str">
            <v>Residential</v>
          </cell>
          <cell r="BT209" t="str">
            <v>Structure Owner</v>
          </cell>
        </row>
        <row r="209">
          <cell r="JR209" t="str">
            <v>Can Stay</v>
          </cell>
        </row>
        <row r="210">
          <cell r="A210" t="str">
            <v>legal-L</v>
          </cell>
        </row>
        <row r="210">
          <cell r="C210" t="str">
            <v>MY-030</v>
          </cell>
        </row>
        <row r="210">
          <cell r="E210" t="str">
            <v>Sta. Cruz Malhacan Meycauayan Bulacan</v>
          </cell>
        </row>
        <row r="210">
          <cell r="AS210">
            <v>0.415384615384615</v>
          </cell>
        </row>
        <row r="210">
          <cell r="BS210" t="str">
            <v>Institutional</v>
          </cell>
          <cell r="BT210" t="str">
            <v>Structure Owner</v>
          </cell>
        </row>
        <row r="210">
          <cell r="VV210" t="str">
            <v>legal-L</v>
          </cell>
        </row>
        <row r="211">
          <cell r="A211" t="str">
            <v>legal</v>
          </cell>
        </row>
        <row r="211">
          <cell r="C211" t="str">
            <v>MY-031</v>
          </cell>
        </row>
        <row r="211">
          <cell r="E211" t="str">
            <v>Sta. Cruz Malhacan Meycauayan Bulacan</v>
          </cell>
        </row>
        <row r="211">
          <cell r="BS211" t="str">
            <v>Mixed use</v>
          </cell>
          <cell r="BT211" t="str">
            <v>Structure Owner</v>
          </cell>
        </row>
        <row r="211">
          <cell r="VV211" t="str">
            <v>legal</v>
          </cell>
        </row>
        <row r="212">
          <cell r="A212" t="str">
            <v>legal-r 211</v>
          </cell>
        </row>
        <row r="212">
          <cell r="C212" t="str">
            <v>MY-031</v>
          </cell>
        </row>
        <row r="212">
          <cell r="E212" t="str">
            <v>1 LGP Sta. Cruz Malhacan Malhacan Meycauayan Bulacan</v>
          </cell>
        </row>
        <row r="212">
          <cell r="T212" t="str">
            <v>Aquilo, Jolito</v>
          </cell>
        </row>
        <row r="212">
          <cell r="BS212" t="str">
            <v>Mixed use</v>
          </cell>
          <cell r="BT212" t="str">
            <v>Structure Renter</v>
          </cell>
        </row>
        <row r="212">
          <cell r="JP212">
            <v>3000</v>
          </cell>
        </row>
        <row r="212">
          <cell r="JR212" t="str">
            <v>Need Displacement</v>
          </cell>
        </row>
        <row r="213">
          <cell r="A213" t="str">
            <v>legal-r 211</v>
          </cell>
        </row>
        <row r="213">
          <cell r="C213" t="str">
            <v>MY-031</v>
          </cell>
        </row>
        <row r="213">
          <cell r="E213" t="str">
            <v>28, Sta. Cruz, Malhacan Meycauayan Bulacan</v>
          </cell>
        </row>
        <row r="213">
          <cell r="T213" t="str">
            <v>Quine, Christopher</v>
          </cell>
        </row>
        <row r="213">
          <cell r="BS213" t="str">
            <v>Mixed use</v>
          </cell>
          <cell r="BT213" t="str">
            <v>Structure Renter</v>
          </cell>
        </row>
        <row r="213">
          <cell r="JP213">
            <v>1000</v>
          </cell>
        </row>
        <row r="213">
          <cell r="JR213" t="str">
            <v>Need Displacement</v>
          </cell>
        </row>
        <row r="214">
          <cell r="A214" t="str">
            <v>legal 211</v>
          </cell>
        </row>
        <row r="214">
          <cell r="C214" t="str">
            <v>MY-032</v>
          </cell>
        </row>
        <row r="214">
          <cell r="E214" t="str">
            <v>28, Sta. Cruz, Malhacan Meycauayan Bulacan</v>
          </cell>
        </row>
        <row r="214">
          <cell r="BS214" t="str">
            <v>Residential</v>
          </cell>
          <cell r="BT214" t="str">
            <v>Structure Owner</v>
          </cell>
        </row>
        <row r="214">
          <cell r="JR214" t="str">
            <v>Can stay</v>
          </cell>
        </row>
        <row r="214">
          <cell r="VV214" t="str">
            <v>legal 211</v>
          </cell>
        </row>
        <row r="215">
          <cell r="A215" t="str">
            <v>legal-r 211</v>
          </cell>
        </row>
        <row r="215">
          <cell r="C215" t="str">
            <v>MY-032</v>
          </cell>
        </row>
        <row r="215">
          <cell r="E215" t="str">
            <v>14, VER Apartment, Sta. Cuz, Malhacan Meycauayan Bulacan</v>
          </cell>
        </row>
        <row r="215">
          <cell r="T215" t="str">
            <v>Castro, Ernesto</v>
          </cell>
        </row>
        <row r="215">
          <cell r="BS215" t="str">
            <v>Residential</v>
          </cell>
          <cell r="BT215" t="str">
            <v>Structure Renter</v>
          </cell>
        </row>
        <row r="215">
          <cell r="JP215">
            <v>900</v>
          </cell>
        </row>
        <row r="215">
          <cell r="JR215" t="str">
            <v>Can stay</v>
          </cell>
        </row>
        <row r="215">
          <cell r="VV215" t="str">
            <v>legal-r 211</v>
          </cell>
        </row>
        <row r="216">
          <cell r="A216" t="str">
            <v>legal-r 211</v>
          </cell>
        </row>
        <row r="216">
          <cell r="C216" t="str">
            <v>MY-032</v>
          </cell>
        </row>
        <row r="216">
          <cell r="E216" t="str">
            <v>16, VER Apartment, Sta. Cuz, Malhacan Meycauayan Bulacan</v>
          </cell>
        </row>
        <row r="216">
          <cell r="T216" t="str">
            <v>Abuso, Reinier</v>
          </cell>
        </row>
        <row r="216">
          <cell r="BS216" t="str">
            <v>Residential</v>
          </cell>
          <cell r="BT216" t="str">
            <v>Structure Renter</v>
          </cell>
        </row>
        <row r="216">
          <cell r="JP216">
            <v>1700</v>
          </cell>
        </row>
        <row r="216">
          <cell r="JR216" t="str">
            <v>Can stay</v>
          </cell>
        </row>
        <row r="216">
          <cell r="VV216" t="str">
            <v>legal-r 211</v>
          </cell>
        </row>
        <row r="217">
          <cell r="A217" t="str">
            <v>legal 211</v>
          </cell>
        </row>
        <row r="217">
          <cell r="C217" t="str">
            <v>MY-033</v>
          </cell>
        </row>
        <row r="217">
          <cell r="E217" t="str">
            <v>VER Apartment, Sta. Cuz, Malhacan Meycauayan Bulacan</v>
          </cell>
        </row>
        <row r="217">
          <cell r="BS217" t="str">
            <v>Residential</v>
          </cell>
          <cell r="BT217" t="str">
            <v>Structure Owner</v>
          </cell>
        </row>
        <row r="217">
          <cell r="VV217" t="str">
            <v>legal 211</v>
          </cell>
        </row>
        <row r="218">
          <cell r="A218" t="str">
            <v>legal-r 211</v>
          </cell>
        </row>
        <row r="218">
          <cell r="C218" t="str">
            <v>MY-033</v>
          </cell>
        </row>
        <row r="218">
          <cell r="E218" t="str">
            <v>VER Apartment, Sta. Cuz, Malhacan Meycauayan Bulacan</v>
          </cell>
        </row>
        <row r="218">
          <cell r="T218" t="str">
            <v>REFUSED TO INTERVIEW</v>
          </cell>
        </row>
        <row r="218">
          <cell r="BS218" t="str">
            <v>Residential</v>
          </cell>
          <cell r="BT218" t="str">
            <v>Structure Renter</v>
          </cell>
        </row>
        <row r="218">
          <cell r="VV218" t="str">
            <v>legal-r 211</v>
          </cell>
        </row>
        <row r="219">
          <cell r="A219" t="str">
            <v>legal-x</v>
          </cell>
        </row>
        <row r="219">
          <cell r="C219" t="str">
            <v>MY-034</v>
          </cell>
        </row>
        <row r="219">
          <cell r="E219" t="str">
            <v>LGP Sta. Cruz Compound Malhacan Bulacan</v>
          </cell>
        </row>
        <row r="219">
          <cell r="AS219">
            <v>0.00494071146245059</v>
          </cell>
        </row>
        <row r="219">
          <cell r="BS219" t="str">
            <v>Mixed use</v>
          </cell>
          <cell r="BT219" t="str">
            <v>Structure Owner</v>
          </cell>
        </row>
        <row r="219">
          <cell r="VV219" t="str">
            <v>legal-x</v>
          </cell>
        </row>
        <row r="220">
          <cell r="A220" t="str">
            <v>legal-x</v>
          </cell>
        </row>
        <row r="220">
          <cell r="C220" t="str">
            <v>MY-035</v>
          </cell>
        </row>
        <row r="220">
          <cell r="E220" t="str">
            <v>Malhacan Meycauayan Bulacan</v>
          </cell>
        </row>
        <row r="220">
          <cell r="AS220">
            <v>1</v>
          </cell>
        </row>
        <row r="220">
          <cell r="BS220" t="str">
            <v>Mixed use</v>
          </cell>
          <cell r="BT220" t="str">
            <v>Structure Owner</v>
          </cell>
        </row>
        <row r="220">
          <cell r="VV220" t="str">
            <v>legal-x</v>
          </cell>
        </row>
        <row r="221">
          <cell r="A221" t="str">
            <v>isf</v>
          </cell>
        </row>
        <row r="221">
          <cell r="C221" t="str">
            <v>VC-001</v>
          </cell>
        </row>
        <row r="221">
          <cell r="E221" t="str">
            <v>ACA NFA Cmpd., Malanday Valenzuela</v>
          </cell>
        </row>
        <row r="221">
          <cell r="T221" t="str">
            <v>Sarabillo, Berto Sabillano</v>
          </cell>
        </row>
        <row r="221">
          <cell r="AS221">
            <v>1</v>
          </cell>
        </row>
        <row r="221">
          <cell r="BS221" t="str">
            <v>Residential</v>
          </cell>
          <cell r="BT221" t="str">
            <v>Structure Owner</v>
          </cell>
        </row>
        <row r="221">
          <cell r="JP221">
            <v>900</v>
          </cell>
        </row>
        <row r="221">
          <cell r="JR221" t="str">
            <v>Need Displacement</v>
          </cell>
        </row>
        <row r="221">
          <cell r="KI221" t="str">
            <v>Cash Compensation/ Balik Probinsiya Program</v>
          </cell>
        </row>
        <row r="222">
          <cell r="A222" t="str">
            <v>isf</v>
          </cell>
        </row>
        <row r="222">
          <cell r="C222" t="str">
            <v>VC-002</v>
          </cell>
        </row>
        <row r="222">
          <cell r="E222" t="str">
            <v>ACA NFA Cmpd., Malanday Valenzuela</v>
          </cell>
        </row>
        <row r="222">
          <cell r="T222" t="str">
            <v>CBL</v>
          </cell>
        </row>
        <row r="222">
          <cell r="AS222">
            <v>1</v>
          </cell>
        </row>
        <row r="222">
          <cell r="BS222" t="str">
            <v>Residential</v>
          </cell>
          <cell r="BT222" t="str">
            <v>Structure Owner</v>
          </cell>
        </row>
        <row r="222">
          <cell r="JR222" t="str">
            <v>Need Displacement</v>
          </cell>
        </row>
        <row r="222">
          <cell r="KI222" t="str">
            <v>No Answer</v>
          </cell>
        </row>
        <row r="223">
          <cell r="A223" t="str">
            <v>isf</v>
          </cell>
        </row>
        <row r="223">
          <cell r="C223" t="str">
            <v>VC-003</v>
          </cell>
        </row>
        <row r="223">
          <cell r="E223" t="str">
            <v>ACA NFA Cmpd., Malanday Valenzuela</v>
          </cell>
        </row>
        <row r="223">
          <cell r="T223" t="str">
            <v>Manangan, Rodrigo Castro</v>
          </cell>
        </row>
        <row r="223">
          <cell r="AS223">
            <v>1</v>
          </cell>
        </row>
        <row r="223">
          <cell r="BS223" t="str">
            <v>Residential</v>
          </cell>
          <cell r="BT223" t="str">
            <v>Structure Owner</v>
          </cell>
        </row>
        <row r="223">
          <cell r="JR223" t="str">
            <v>Need Displacement</v>
          </cell>
        </row>
        <row r="223">
          <cell r="KI223" t="str">
            <v>Relocation</v>
          </cell>
        </row>
        <row r="223">
          <cell r="KL223" t="str">
            <v>Disiplina Village (Brgy Bignay, Valenzuela City)</v>
          </cell>
        </row>
        <row r="223">
          <cell r="KQ223" t="str">
            <v>x</v>
          </cell>
        </row>
        <row r="223">
          <cell r="KS223" t="str">
            <v>x</v>
          </cell>
          <cell r="KT223" t="str">
            <v>x</v>
          </cell>
          <cell r="KU223" t="str">
            <v>x</v>
          </cell>
        </row>
        <row r="223">
          <cell r="KX223" t="str">
            <v>No</v>
          </cell>
        </row>
        <row r="223">
          <cell r="LE223" t="str">
            <v>x</v>
          </cell>
          <cell r="LF223" t="str">
            <v>x</v>
          </cell>
          <cell r="LG223" t="str">
            <v>x</v>
          </cell>
        </row>
        <row r="224">
          <cell r="A224" t="str">
            <v>isf</v>
          </cell>
        </row>
        <row r="224">
          <cell r="C224" t="str">
            <v>VC-004</v>
          </cell>
        </row>
        <row r="224">
          <cell r="E224" t="str">
            <v>ACA NFA Cmpd., Malanday Valenzuela</v>
          </cell>
        </row>
        <row r="224">
          <cell r="T224" t="str">
            <v>Roselio, Rafael Dazo</v>
          </cell>
        </row>
        <row r="224">
          <cell r="AS224">
            <v>1</v>
          </cell>
        </row>
        <row r="224">
          <cell r="BS224" t="str">
            <v>Residential</v>
          </cell>
          <cell r="BT224" t="str">
            <v>Structure Owner</v>
          </cell>
        </row>
        <row r="224">
          <cell r="JR224" t="str">
            <v>Need Displacement</v>
          </cell>
        </row>
        <row r="224">
          <cell r="KI224" t="str">
            <v>Cash Compensation/ Balik Probinsiya Program</v>
          </cell>
        </row>
        <row r="225">
          <cell r="A225" t="str">
            <v>isf</v>
          </cell>
        </row>
        <row r="225">
          <cell r="C225" t="str">
            <v>VC-005</v>
          </cell>
        </row>
        <row r="225">
          <cell r="E225" t="str">
            <v>ACA NFA Cmpd., Malanday Valenzuela</v>
          </cell>
        </row>
        <row r="225">
          <cell r="T225" t="str">
            <v>Sebastian, Roselio E.</v>
          </cell>
        </row>
        <row r="225">
          <cell r="AS225">
            <v>1</v>
          </cell>
        </row>
        <row r="225">
          <cell r="BS225" t="str">
            <v>Residential</v>
          </cell>
          <cell r="BT225" t="str">
            <v>Structure Owner</v>
          </cell>
        </row>
        <row r="225">
          <cell r="JR225" t="str">
            <v>Need Displacement</v>
          </cell>
        </row>
        <row r="225">
          <cell r="KI225" t="str">
            <v>Cash Compensation/ Balik Probinsiya Program</v>
          </cell>
        </row>
        <row r="226">
          <cell r="A226" t="str">
            <v>isf</v>
          </cell>
        </row>
        <row r="226">
          <cell r="C226" t="str">
            <v>VC-006</v>
          </cell>
        </row>
        <row r="226">
          <cell r="E226" t="str">
            <v>ACA NFA Cmpd., Malanday Valenzuela</v>
          </cell>
        </row>
        <row r="226">
          <cell r="T226" t="str">
            <v>Roselio, Raul Dazo</v>
          </cell>
        </row>
        <row r="226">
          <cell r="AS226">
            <v>1</v>
          </cell>
        </row>
        <row r="226">
          <cell r="BS226" t="str">
            <v>Residential</v>
          </cell>
          <cell r="BT226" t="str">
            <v>Structure Owner</v>
          </cell>
        </row>
        <row r="226">
          <cell r="JR226" t="str">
            <v>Need Displacement</v>
          </cell>
        </row>
        <row r="226">
          <cell r="KI226" t="str">
            <v>Cash Compensation/ Balik Probinsiya Program</v>
          </cell>
        </row>
        <row r="227">
          <cell r="A227" t="str">
            <v>isf</v>
          </cell>
        </row>
        <row r="227">
          <cell r="C227" t="str">
            <v>VC-007</v>
          </cell>
        </row>
        <row r="227">
          <cell r="E227" t="str">
            <v>ACA NFA Cmpd., Malanday Valenzuela</v>
          </cell>
        </row>
        <row r="227">
          <cell r="T227" t="str">
            <v>Cainoy, Carlo Ven S. </v>
          </cell>
        </row>
        <row r="227">
          <cell r="AS227">
            <v>1</v>
          </cell>
        </row>
        <row r="227">
          <cell r="BS227" t="str">
            <v>Residential</v>
          </cell>
          <cell r="BT227" t="str">
            <v>Structure Owner</v>
          </cell>
        </row>
        <row r="227">
          <cell r="JR227" t="str">
            <v>Need Displacement</v>
          </cell>
        </row>
        <row r="227">
          <cell r="KI227" t="str">
            <v>Relocation</v>
          </cell>
        </row>
        <row r="227">
          <cell r="KL227" t="str">
            <v>San Jose Del Monte Heights, (Brgy. Muzon, SJDM, Bulacan)</v>
          </cell>
        </row>
        <row r="227">
          <cell r="KR227" t="str">
            <v>x</v>
          </cell>
          <cell r="KS227" t="str">
            <v>x</v>
          </cell>
          <cell r="KT227" t="str">
            <v>x</v>
          </cell>
          <cell r="KU227" t="str">
            <v>x</v>
          </cell>
        </row>
        <row r="227">
          <cell r="KZ227" t="str">
            <v>x</v>
          </cell>
          <cell r="LA227" t="str">
            <v>x</v>
          </cell>
          <cell r="LB227" t="str">
            <v>x</v>
          </cell>
          <cell r="LC227" t="str">
            <v>x</v>
          </cell>
          <cell r="LD227" t="str">
            <v>x</v>
          </cell>
          <cell r="LE227" t="str">
            <v>x</v>
          </cell>
          <cell r="LF227" t="str">
            <v>x</v>
          </cell>
        </row>
        <row r="228">
          <cell r="A228" t="str">
            <v>isf</v>
          </cell>
        </row>
        <row r="228">
          <cell r="C228" t="str">
            <v>VC-008</v>
          </cell>
        </row>
        <row r="228">
          <cell r="E228" t="str">
            <v>ACA NFA Cmpd., Malanday Valenzuela</v>
          </cell>
        </row>
        <row r="228">
          <cell r="T228" t="str">
            <v>Cabayao, Marlon C.</v>
          </cell>
        </row>
        <row r="228">
          <cell r="AS228">
            <v>1</v>
          </cell>
        </row>
        <row r="228">
          <cell r="BS228" t="str">
            <v>Residential</v>
          </cell>
          <cell r="BT228" t="str">
            <v>Structure Owner</v>
          </cell>
        </row>
        <row r="228">
          <cell r="JR228" t="str">
            <v>Need Displacement</v>
          </cell>
        </row>
        <row r="228">
          <cell r="KI228" t="str">
            <v>Relocation</v>
          </cell>
        </row>
        <row r="228">
          <cell r="KL228" t="str">
            <v>Disiplina Village (Brgy Bignay, Valenzuela City)</v>
          </cell>
        </row>
        <row r="228">
          <cell r="KQ228" t="str">
            <v>x</v>
          </cell>
        </row>
        <row r="228">
          <cell r="KZ228" t="str">
            <v> </v>
          </cell>
        </row>
        <row r="228">
          <cell r="LC228" t="str">
            <v> </v>
          </cell>
        </row>
        <row r="229">
          <cell r="A229" t="str">
            <v>isf</v>
          </cell>
        </row>
        <row r="229">
          <cell r="C229" t="str">
            <v>VC-009</v>
          </cell>
        </row>
        <row r="229">
          <cell r="E229" t="str">
            <v>ACA NFA Cmpd., Malanday Valenzuela</v>
          </cell>
        </row>
        <row r="229">
          <cell r="T229" t="str">
            <v>Quillosa, Mauricio Daradal</v>
          </cell>
        </row>
        <row r="229">
          <cell r="AS229">
            <v>1</v>
          </cell>
        </row>
        <row r="229">
          <cell r="BS229" t="str">
            <v>Residential</v>
          </cell>
          <cell r="BT229" t="str">
            <v>Structure Owner</v>
          </cell>
        </row>
        <row r="229">
          <cell r="JR229" t="str">
            <v>Need Displacement</v>
          </cell>
        </row>
        <row r="229">
          <cell r="KI229" t="str">
            <v>Cash Compensation/ Balik Probinsiya Program</v>
          </cell>
        </row>
        <row r="230">
          <cell r="A230" t="str">
            <v>isf</v>
          </cell>
        </row>
        <row r="230">
          <cell r="C230" t="str">
            <v>VC-010</v>
          </cell>
        </row>
        <row r="230">
          <cell r="E230" t="str">
            <v>ACA NFA Cmpd., Malanday Valenzuela</v>
          </cell>
        </row>
        <row r="230">
          <cell r="T230" t="str">
            <v>Artajo, Exequiel Arrogante</v>
          </cell>
        </row>
        <row r="230">
          <cell r="AS230">
            <v>1</v>
          </cell>
        </row>
        <row r="230">
          <cell r="BS230" t="str">
            <v>Residential</v>
          </cell>
          <cell r="BT230" t="str">
            <v>Structure Owner</v>
          </cell>
        </row>
        <row r="230">
          <cell r="JR230" t="str">
            <v>Need Displacement</v>
          </cell>
        </row>
        <row r="230">
          <cell r="KI230" t="str">
            <v>Cash Compensation/ Balik Probinsiya Program</v>
          </cell>
        </row>
        <row r="231">
          <cell r="A231" t="str">
            <v>isf</v>
          </cell>
        </row>
        <row r="231">
          <cell r="C231" t="str">
            <v>VC-011</v>
          </cell>
        </row>
        <row r="231">
          <cell r="E231" t="str">
            <v>ACA NFA Cmpd., Malanday Valenzuela</v>
          </cell>
        </row>
        <row r="231">
          <cell r="T231" t="str">
            <v>Prieto, Danilo Chavit</v>
          </cell>
        </row>
        <row r="231">
          <cell r="AS231">
            <v>1</v>
          </cell>
        </row>
        <row r="231">
          <cell r="BS231" t="str">
            <v>Residential</v>
          </cell>
          <cell r="BT231" t="str">
            <v>Structure Owner</v>
          </cell>
        </row>
        <row r="231">
          <cell r="JR231" t="str">
            <v>Need Displacement</v>
          </cell>
        </row>
        <row r="231">
          <cell r="KI231" t="str">
            <v>Relocation </v>
          </cell>
        </row>
        <row r="231">
          <cell r="KL231" t="str">
            <v>Disiplina Village (Brgy Bignay, Valenzuela City)</v>
          </cell>
        </row>
        <row r="231">
          <cell r="KQ231" t="str">
            <v>x</v>
          </cell>
          <cell r="KR231" t="str">
            <v>x</v>
          </cell>
          <cell r="KS231" t="str">
            <v>x</v>
          </cell>
        </row>
        <row r="231">
          <cell r="KX231" t="str">
            <v>Y</v>
          </cell>
        </row>
        <row r="231">
          <cell r="LB231" t="str">
            <v>x</v>
          </cell>
        </row>
        <row r="231">
          <cell r="LD231" t="str">
            <v>x</v>
          </cell>
          <cell r="LE231" t="str">
            <v>x</v>
          </cell>
        </row>
        <row r="232">
          <cell r="A232" t="str">
            <v>isf</v>
          </cell>
        </row>
        <row r="232">
          <cell r="C232" t="str">
            <v>VC-012</v>
          </cell>
        </row>
        <row r="232">
          <cell r="E232" t="str">
            <v>ACA NFA Cmpd., Malanday Valenzuela</v>
          </cell>
        </row>
        <row r="232">
          <cell r="T232" t="str">
            <v>Bales, Abner Dela Cruz</v>
          </cell>
        </row>
        <row r="232">
          <cell r="AS232">
            <v>1</v>
          </cell>
        </row>
        <row r="232">
          <cell r="BS232" t="str">
            <v>Residential</v>
          </cell>
          <cell r="BT232" t="str">
            <v>Structure Owner</v>
          </cell>
        </row>
        <row r="232">
          <cell r="JR232" t="str">
            <v>Need Displacement</v>
          </cell>
        </row>
        <row r="232">
          <cell r="KI232" t="str">
            <v>Relocation</v>
          </cell>
          <cell r="KJ232" t="str">
            <v>In City</v>
          </cell>
        </row>
        <row r="232">
          <cell r="KL232" t="str">
            <v>Disiplina Village (Brgy Bignay, Valenzuela City)</v>
          </cell>
        </row>
        <row r="232">
          <cell r="KQ232" t="str">
            <v>x</v>
          </cell>
          <cell r="KR232" t="str">
            <v>x</v>
          </cell>
        </row>
        <row r="232">
          <cell r="KX232" t="str">
            <v>Y</v>
          </cell>
        </row>
        <row r="232">
          <cell r="KZ232" t="str">
            <v>x</v>
          </cell>
        </row>
        <row r="232">
          <cell r="LB232" t="str">
            <v>x</v>
          </cell>
        </row>
        <row r="233">
          <cell r="A233" t="str">
            <v>isf</v>
          </cell>
        </row>
        <row r="233">
          <cell r="C233" t="str">
            <v>VC-013</v>
          </cell>
        </row>
        <row r="233">
          <cell r="E233" t="str">
            <v>ACA NFA Cmpd., Malanday Valenzuela</v>
          </cell>
        </row>
        <row r="233">
          <cell r="T233" t="str">
            <v>Esponilla, Oliver Albino</v>
          </cell>
        </row>
        <row r="233">
          <cell r="AS233">
            <v>1</v>
          </cell>
        </row>
        <row r="233">
          <cell r="BS233" t="str">
            <v>Residential</v>
          </cell>
          <cell r="BT233" t="str">
            <v>Structure Owner</v>
          </cell>
        </row>
        <row r="233">
          <cell r="JR233" t="str">
            <v>Need Displacement</v>
          </cell>
        </row>
        <row r="233">
          <cell r="KI233" t="str">
            <v>Relocation</v>
          </cell>
          <cell r="KJ233" t="str">
            <v>In City</v>
          </cell>
        </row>
        <row r="233">
          <cell r="KL233" t="str">
            <v>Disiplina Village (Brgy Bignay, Valenzuela City)</v>
          </cell>
        </row>
        <row r="233">
          <cell r="KQ233" t="str">
            <v>x</v>
          </cell>
        </row>
        <row r="233">
          <cell r="KX233" t="str">
            <v>Y</v>
          </cell>
        </row>
        <row r="233">
          <cell r="LA233" t="str">
            <v>x</v>
          </cell>
        </row>
        <row r="233">
          <cell r="LD233" t="str">
            <v>x</v>
          </cell>
          <cell r="LE233" t="str">
            <v>x</v>
          </cell>
        </row>
        <row r="234">
          <cell r="A234" t="str">
            <v>isf</v>
          </cell>
        </row>
        <row r="234">
          <cell r="C234" t="str">
            <v>VC-014</v>
          </cell>
        </row>
        <row r="234">
          <cell r="E234" t="str">
            <v>ACA NFA Cmpd., Malanday Valenzuela</v>
          </cell>
        </row>
        <row r="234">
          <cell r="T234" t="str">
            <v>Lao, Jordon Manapat</v>
          </cell>
        </row>
        <row r="234">
          <cell r="AS234">
            <v>1</v>
          </cell>
        </row>
        <row r="234">
          <cell r="BS234" t="str">
            <v>Residential</v>
          </cell>
          <cell r="BT234" t="str">
            <v>Structure Owner</v>
          </cell>
        </row>
        <row r="234">
          <cell r="JR234" t="str">
            <v>Need Displacement</v>
          </cell>
        </row>
        <row r="234">
          <cell r="KI234" t="str">
            <v>Relocation</v>
          </cell>
        </row>
        <row r="234">
          <cell r="KL234" t="str">
            <v>Disiplina Village (Brgy Bignay, Valenzuela City)</v>
          </cell>
        </row>
        <row r="234">
          <cell r="KQ234" t="str">
            <v>x</v>
          </cell>
          <cell r="KR234" t="str">
            <v>x</v>
          </cell>
          <cell r="KS234" t="str">
            <v>x</v>
          </cell>
        </row>
        <row r="234">
          <cell r="KX234" t="str">
            <v>Y</v>
          </cell>
        </row>
        <row r="234">
          <cell r="KZ234" t="str">
            <v>x</v>
          </cell>
        </row>
        <row r="234">
          <cell r="LD234" t="str">
            <v>x</v>
          </cell>
        </row>
        <row r="234">
          <cell r="LF234" t="str">
            <v>x</v>
          </cell>
        </row>
        <row r="235">
          <cell r="A235" t="str">
            <v>isf</v>
          </cell>
        </row>
        <row r="235">
          <cell r="C235" t="str">
            <v>VC-015</v>
          </cell>
        </row>
        <row r="235">
          <cell r="E235" t="str">
            <v>ACA NFA Cmpd., Malanday Valenzuela</v>
          </cell>
        </row>
        <row r="235">
          <cell r="T235" t="str">
            <v>Realino, Romeo De Sabayla</v>
          </cell>
        </row>
        <row r="235">
          <cell r="AS235">
            <v>1</v>
          </cell>
        </row>
        <row r="235">
          <cell r="BS235" t="str">
            <v>Residential</v>
          </cell>
          <cell r="BT235" t="str">
            <v>Structure Owner</v>
          </cell>
        </row>
        <row r="235">
          <cell r="JR235" t="str">
            <v>Need Displacement</v>
          </cell>
        </row>
        <row r="235">
          <cell r="KI235" t="str">
            <v>Relocation</v>
          </cell>
        </row>
        <row r="235">
          <cell r="KL235" t="str">
            <v>Northville 5, Brgy Batia, Bocaue Bulacan</v>
          </cell>
        </row>
        <row r="235">
          <cell r="KR235" t="str">
            <v>x</v>
          </cell>
        </row>
        <row r="235">
          <cell r="KX235" t="str">
            <v>Y</v>
          </cell>
        </row>
        <row r="235">
          <cell r="KZ235" t="str">
            <v>x</v>
          </cell>
        </row>
        <row r="235">
          <cell r="LB235" t="str">
            <v>x</v>
          </cell>
          <cell r="LC235" t="str">
            <v>x</v>
          </cell>
          <cell r="LD235" t="str">
            <v>x</v>
          </cell>
        </row>
        <row r="235">
          <cell r="LF235" t="str">
            <v>x</v>
          </cell>
        </row>
        <row r="236">
          <cell r="A236" t="str">
            <v>isf</v>
          </cell>
        </row>
        <row r="236">
          <cell r="C236" t="str">
            <v>VC-016</v>
          </cell>
        </row>
        <row r="236">
          <cell r="E236" t="str">
            <v>ACA NFA Cmpd., Malanday Valenzuela</v>
          </cell>
        </row>
        <row r="236">
          <cell r="T236" t="str">
            <v>Alnas, Melanio</v>
          </cell>
        </row>
        <row r="236">
          <cell r="AS236">
            <v>1</v>
          </cell>
        </row>
        <row r="236">
          <cell r="BS236" t="str">
            <v>Residential</v>
          </cell>
          <cell r="BT236" t="str">
            <v>Structure Owner</v>
          </cell>
        </row>
        <row r="236">
          <cell r="JR236" t="str">
            <v>Need Displacement</v>
          </cell>
        </row>
        <row r="236">
          <cell r="KI236" t="str">
            <v>Cash Compensation/ Balik Probinsiya Program</v>
          </cell>
        </row>
        <row r="237">
          <cell r="A237" t="str">
            <v>isf-sh</v>
          </cell>
        </row>
        <row r="237">
          <cell r="C237" t="str">
            <v>VC-016</v>
          </cell>
        </row>
        <row r="237">
          <cell r="E237" t="str">
            <v>ACA NFA Cmpd., Malanday Valenzuela</v>
          </cell>
        </row>
        <row r="237">
          <cell r="T237" t="str">
            <v>Sinanggote, Rolando Sasing</v>
          </cell>
        </row>
        <row r="237">
          <cell r="BS237" t="str">
            <v>Residential</v>
          </cell>
          <cell r="BT237" t="str">
            <v>Sharer</v>
          </cell>
        </row>
        <row r="237">
          <cell r="JR237" t="str">
            <v>Need Displacement</v>
          </cell>
        </row>
        <row r="237">
          <cell r="KI237" t="str">
            <v>Relocation</v>
          </cell>
        </row>
        <row r="237">
          <cell r="KL237" t="str">
            <v>Disiplina Village (Brgy Bignay, Valenzuela City)</v>
          </cell>
        </row>
        <row r="237">
          <cell r="KQ237" t="str">
            <v>x</v>
          </cell>
        </row>
        <row r="237">
          <cell r="KX237" t="str">
            <v>Y</v>
          </cell>
        </row>
        <row r="237">
          <cell r="KZ237" t="str">
            <v>x</v>
          </cell>
        </row>
        <row r="237">
          <cell r="LB237" t="str">
            <v>x</v>
          </cell>
        </row>
        <row r="237">
          <cell r="LE237" t="str">
            <v>x</v>
          </cell>
          <cell r="LF237" t="str">
            <v>x</v>
          </cell>
        </row>
        <row r="238">
          <cell r="A238" t="str">
            <v>isf</v>
          </cell>
        </row>
        <row r="238">
          <cell r="C238" t="str">
            <v>VC-017</v>
          </cell>
        </row>
        <row r="238">
          <cell r="E238" t="str">
            <v>ACA NFA Cmpd., Malanday Valenzuela</v>
          </cell>
        </row>
        <row r="238">
          <cell r="T238" t="str">
            <v>Barroga, Romeo T.</v>
          </cell>
        </row>
        <row r="238">
          <cell r="AS238">
            <v>1</v>
          </cell>
        </row>
        <row r="238">
          <cell r="BS238" t="str">
            <v>Residential</v>
          </cell>
          <cell r="BT238" t="str">
            <v>Structure Owner</v>
          </cell>
        </row>
        <row r="238">
          <cell r="JR238" t="str">
            <v>Need Displacement</v>
          </cell>
        </row>
        <row r="238">
          <cell r="KI238" t="str">
            <v>Cash Compensation/ Balik Probinsiya Program</v>
          </cell>
        </row>
        <row r="238">
          <cell r="KX238" t="str">
            <v>No</v>
          </cell>
        </row>
        <row r="239">
          <cell r="A239" t="str">
            <v>isf</v>
          </cell>
        </row>
        <row r="239">
          <cell r="C239" t="str">
            <v>VC-018</v>
          </cell>
        </row>
        <row r="239">
          <cell r="E239" t="str">
            <v>ACA NFA Cmpd., Malanday Valenzuela</v>
          </cell>
        </row>
        <row r="239">
          <cell r="T239" t="str">
            <v>Villanroque, Hernani</v>
          </cell>
        </row>
        <row r="239">
          <cell r="AS239">
            <v>1</v>
          </cell>
        </row>
        <row r="239">
          <cell r="BS239" t="str">
            <v>Residential</v>
          </cell>
          <cell r="BT239" t="str">
            <v>Structure Owner</v>
          </cell>
        </row>
        <row r="239">
          <cell r="JR239" t="str">
            <v>Need Displacement</v>
          </cell>
        </row>
        <row r="239">
          <cell r="KI239" t="str">
            <v>Relocation</v>
          </cell>
        </row>
        <row r="239">
          <cell r="KL239" t="str">
            <v>Disiplina Village (Brgy Bignay, Valenzuela City)</v>
          </cell>
        </row>
        <row r="239">
          <cell r="KQ239" t="str">
            <v>x</v>
          </cell>
          <cell r="KR239" t="str">
            <v>x</v>
          </cell>
        </row>
        <row r="239">
          <cell r="KX239" t="str">
            <v>Y</v>
          </cell>
        </row>
        <row r="239">
          <cell r="KZ239" t="str">
            <v>x</v>
          </cell>
        </row>
        <row r="239">
          <cell r="LD239" t="str">
            <v>x</v>
          </cell>
        </row>
        <row r="240">
          <cell r="A240" t="str">
            <v>legal</v>
          </cell>
        </row>
        <row r="240">
          <cell r="C240" t="str">
            <v>VC-019</v>
          </cell>
        </row>
        <row r="240">
          <cell r="E240" t="str">
            <v>ACA NFA Cmpd., Malanday Valenzuela</v>
          </cell>
        </row>
        <row r="240">
          <cell r="AS240">
            <v>1</v>
          </cell>
        </row>
        <row r="240">
          <cell r="BS240" t="str">
            <v>Commercial</v>
          </cell>
          <cell r="BT240" t="str">
            <v>Structure Owner</v>
          </cell>
        </row>
        <row r="240">
          <cell r="VV240" t="str">
            <v>legal</v>
          </cell>
        </row>
        <row r="241">
          <cell r="A241" t="str">
            <v>legal 240</v>
          </cell>
        </row>
        <row r="241">
          <cell r="C241" t="str">
            <v>VC-019A</v>
          </cell>
        </row>
        <row r="241">
          <cell r="E241" t="str">
            <v>ACA NFA Cmpd., Malanday Valenzuela</v>
          </cell>
        </row>
        <row r="241">
          <cell r="AS241">
            <v>1</v>
          </cell>
        </row>
        <row r="241">
          <cell r="BS241" t="str">
            <v>Commercial</v>
          </cell>
          <cell r="BT241" t="str">
            <v>Structure Owner</v>
          </cell>
        </row>
        <row r="241">
          <cell r="VV241" t="str">
            <v>legal 240</v>
          </cell>
        </row>
        <row r="242">
          <cell r="A242" t="str">
            <v>legal 240</v>
          </cell>
        </row>
        <row r="242">
          <cell r="C242" t="str">
            <v>VC-019B</v>
          </cell>
        </row>
        <row r="242">
          <cell r="E242" t="str">
            <v>ACA NFA Cmpd., Malanday Valenzuela</v>
          </cell>
        </row>
        <row r="242">
          <cell r="AS242">
            <v>1</v>
          </cell>
        </row>
        <row r="242">
          <cell r="BS242" t="str">
            <v>Commercial</v>
          </cell>
          <cell r="BT242" t="str">
            <v>Structure Owner</v>
          </cell>
        </row>
        <row r="242">
          <cell r="VV242" t="str">
            <v>legal 240</v>
          </cell>
        </row>
        <row r="243">
          <cell r="A243" t="str">
            <v>legal 240</v>
          </cell>
        </row>
        <row r="243">
          <cell r="C243" t="str">
            <v>VC-019C</v>
          </cell>
        </row>
        <row r="243">
          <cell r="E243" t="str">
            <v>ACA NFA Cmpd., Malanday Valenzuela</v>
          </cell>
        </row>
        <row r="243">
          <cell r="AS243">
            <v>1</v>
          </cell>
        </row>
        <row r="243">
          <cell r="BS243" t="str">
            <v>Commercial</v>
          </cell>
          <cell r="BT243" t="str">
            <v>Structure Owner</v>
          </cell>
        </row>
        <row r="243">
          <cell r="VV243" t="str">
            <v>legal 240</v>
          </cell>
        </row>
        <row r="244">
          <cell r="A244" t="str">
            <v>legal 240</v>
          </cell>
        </row>
        <row r="244">
          <cell r="C244" t="str">
            <v>VC-019D</v>
          </cell>
        </row>
        <row r="244">
          <cell r="E244" t="str">
            <v>ACA NFA Cmpd., Malanday Valenzuela</v>
          </cell>
        </row>
        <row r="244">
          <cell r="AS244">
            <v>1</v>
          </cell>
        </row>
        <row r="244">
          <cell r="BS244" t="str">
            <v>Commercial</v>
          </cell>
          <cell r="BT244" t="str">
            <v>Structure Owner</v>
          </cell>
        </row>
        <row r="244">
          <cell r="VV244" t="str">
            <v>legal 240</v>
          </cell>
        </row>
        <row r="245">
          <cell r="A245" t="str">
            <v>legal 240</v>
          </cell>
        </row>
        <row r="245">
          <cell r="C245" t="str">
            <v>VC-019E</v>
          </cell>
        </row>
        <row r="245">
          <cell r="E245" t="str">
            <v>ACA NFA Cmpd., Malanday Valenzuela</v>
          </cell>
        </row>
        <row r="245">
          <cell r="AS245">
            <v>1</v>
          </cell>
        </row>
        <row r="245">
          <cell r="BS245" t="str">
            <v>Commercial</v>
          </cell>
          <cell r="BT245" t="str">
            <v>Structure Owner</v>
          </cell>
        </row>
        <row r="245">
          <cell r="VV245" t="str">
            <v>legal 240</v>
          </cell>
        </row>
        <row r="246">
          <cell r="A246" t="str">
            <v>legal 240</v>
          </cell>
        </row>
        <row r="246">
          <cell r="C246" t="str">
            <v>VC-019F</v>
          </cell>
        </row>
        <row r="246">
          <cell r="E246" t="str">
            <v>ACA NFA Cmpd., Malanday Valenzuela</v>
          </cell>
        </row>
        <row r="246">
          <cell r="AS246">
            <v>1</v>
          </cell>
        </row>
        <row r="246">
          <cell r="BS246" t="str">
            <v>Commercial</v>
          </cell>
          <cell r="BT246" t="str">
            <v>Structure Owner</v>
          </cell>
        </row>
        <row r="246">
          <cell r="VV246" t="str">
            <v>legal 240</v>
          </cell>
        </row>
        <row r="247">
          <cell r="A247" t="str">
            <v>legal 240</v>
          </cell>
        </row>
        <row r="247">
          <cell r="C247" t="str">
            <v>VC-019G</v>
          </cell>
        </row>
        <row r="247">
          <cell r="E247" t="str">
            <v>ACA NFA Cmpd., Malanday Valenzuela</v>
          </cell>
        </row>
        <row r="247">
          <cell r="AS247">
            <v>1</v>
          </cell>
        </row>
        <row r="247">
          <cell r="BS247" t="str">
            <v>Commercial</v>
          </cell>
          <cell r="BT247" t="str">
            <v>Structure Owner</v>
          </cell>
        </row>
        <row r="247">
          <cell r="VV247" t="str">
            <v>legal 240</v>
          </cell>
        </row>
        <row r="248">
          <cell r="A248" t="str">
            <v>legal</v>
          </cell>
        </row>
        <row r="248">
          <cell r="C248" t="str">
            <v>VC-020</v>
          </cell>
        </row>
        <row r="248">
          <cell r="E248" t="str">
            <v>ACA NFA Cmpd., Malanday Valenzuela</v>
          </cell>
        </row>
        <row r="248">
          <cell r="AS248">
            <v>1</v>
          </cell>
        </row>
        <row r="248">
          <cell r="BS248" t="str">
            <v>Commercial</v>
          </cell>
          <cell r="BT248" t="str">
            <v>Structure Owner</v>
          </cell>
        </row>
        <row r="248">
          <cell r="JR248" t="str">
            <v>Need Displacement</v>
          </cell>
        </row>
        <row r="248">
          <cell r="VV248" t="str">
            <v>legal</v>
          </cell>
        </row>
        <row r="249">
          <cell r="A249" t="str">
            <v>legal 248</v>
          </cell>
        </row>
        <row r="249">
          <cell r="C249" t="str">
            <v>VC-020A</v>
          </cell>
        </row>
        <row r="249">
          <cell r="E249" t="str">
            <v>ACA NFA Cmpd., Malanday Valenzuela</v>
          </cell>
        </row>
        <row r="249">
          <cell r="AS249">
            <v>1</v>
          </cell>
        </row>
        <row r="249">
          <cell r="BS249" t="str">
            <v>Commercial</v>
          </cell>
          <cell r="BT249" t="str">
            <v>Structure Owner</v>
          </cell>
        </row>
        <row r="249">
          <cell r="VV249" t="str">
            <v>legal 248</v>
          </cell>
        </row>
        <row r="250">
          <cell r="A250" t="str">
            <v>legal 248</v>
          </cell>
        </row>
        <row r="250">
          <cell r="C250" t="str">
            <v>VC-020B</v>
          </cell>
        </row>
        <row r="250">
          <cell r="E250" t="str">
            <v>ACA NFA Cmpd., Malanday Valenzuela</v>
          </cell>
        </row>
        <row r="250">
          <cell r="AS250">
            <v>1</v>
          </cell>
        </row>
        <row r="250">
          <cell r="BS250" t="str">
            <v>Commercial</v>
          </cell>
          <cell r="BT250" t="str">
            <v>Structure Owner</v>
          </cell>
        </row>
        <row r="250">
          <cell r="VV250" t="str">
            <v>legal 248</v>
          </cell>
        </row>
        <row r="251">
          <cell r="A251" t="str">
            <v>legal 248</v>
          </cell>
        </row>
        <row r="251">
          <cell r="C251" t="str">
            <v>VC-020C</v>
          </cell>
        </row>
        <row r="251">
          <cell r="E251" t="str">
            <v>ACA NFA Cmpd., Malanday Valenzuela</v>
          </cell>
        </row>
        <row r="251">
          <cell r="AS251">
            <v>1</v>
          </cell>
        </row>
        <row r="251">
          <cell r="BS251" t="str">
            <v>Commercial</v>
          </cell>
          <cell r="BT251" t="str">
            <v>Structure Owner</v>
          </cell>
        </row>
        <row r="251">
          <cell r="VV251" t="str">
            <v>legal 248</v>
          </cell>
        </row>
        <row r="252">
          <cell r="A252" t="str">
            <v>legal 248</v>
          </cell>
        </row>
        <row r="252">
          <cell r="C252" t="str">
            <v>VC-020D</v>
          </cell>
        </row>
        <row r="252">
          <cell r="E252" t="str">
            <v>ACA NFA Cmpd., Malanday Valenzuela</v>
          </cell>
        </row>
        <row r="252">
          <cell r="AS252">
            <v>1</v>
          </cell>
        </row>
        <row r="252">
          <cell r="BS252" t="str">
            <v>Commercial</v>
          </cell>
          <cell r="BT252" t="str">
            <v>Structure Owner</v>
          </cell>
        </row>
        <row r="252">
          <cell r="VV252" t="str">
            <v>legal 248</v>
          </cell>
        </row>
        <row r="253">
          <cell r="A253" t="str">
            <v>legal 248</v>
          </cell>
        </row>
        <row r="253">
          <cell r="C253" t="str">
            <v>VC-020E</v>
          </cell>
        </row>
        <row r="253">
          <cell r="E253" t="str">
            <v>ACA NFA Cmpd., Malanday Valenzuela</v>
          </cell>
        </row>
        <row r="253">
          <cell r="AS253">
            <v>1</v>
          </cell>
        </row>
        <row r="253">
          <cell r="BS253" t="str">
            <v>Commercial</v>
          </cell>
          <cell r="BT253" t="str">
            <v>Structure Owner</v>
          </cell>
        </row>
        <row r="253">
          <cell r="VV253" t="str">
            <v>legal 248</v>
          </cell>
        </row>
        <row r="254">
          <cell r="A254" t="str">
            <v>legal 248</v>
          </cell>
        </row>
        <row r="254">
          <cell r="C254" t="str">
            <v>VC-020F</v>
          </cell>
        </row>
        <row r="254">
          <cell r="E254" t="str">
            <v>ACA NFA Cmpd., Malanday Valenzuela</v>
          </cell>
        </row>
        <row r="254">
          <cell r="AS254">
            <v>1</v>
          </cell>
        </row>
        <row r="254">
          <cell r="BS254" t="str">
            <v>Commercial</v>
          </cell>
          <cell r="BT254" t="str">
            <v>Structure Owner</v>
          </cell>
        </row>
        <row r="254">
          <cell r="VV254" t="str">
            <v>legal 248</v>
          </cell>
        </row>
        <row r="255">
          <cell r="A255" t="str">
            <v>legal</v>
          </cell>
        </row>
        <row r="255">
          <cell r="C255" t="str">
            <v>VC-021.1</v>
          </cell>
        </row>
        <row r="255">
          <cell r="E255" t="str">
            <v>617 Km.17 Mc Arthur Hi-way Malanday Valenzuela City</v>
          </cell>
        </row>
        <row r="255">
          <cell r="AS255">
            <v>0.180288461538462</v>
          </cell>
        </row>
        <row r="255">
          <cell r="BS255" t="str">
            <v>Institutional</v>
          </cell>
          <cell r="BT255" t="str">
            <v>Structure Owner</v>
          </cell>
        </row>
        <row r="255">
          <cell r="VV255" t="str">
            <v>legal</v>
          </cell>
        </row>
        <row r="256">
          <cell r="A256" t="str">
            <v>legal</v>
          </cell>
        </row>
        <row r="256">
          <cell r="C256" t="str">
            <v>VC-021</v>
          </cell>
        </row>
        <row r="256">
          <cell r="E256" t="str">
            <v>269 Mc Arthur Hi-Way, Dalandanan, Valenzuela City</v>
          </cell>
        </row>
        <row r="256">
          <cell r="T256" t="str">
            <v>Diones, Ramil Quitlong</v>
          </cell>
        </row>
        <row r="256">
          <cell r="AS256">
            <v>0.184</v>
          </cell>
        </row>
        <row r="256">
          <cell r="BS256" t="str">
            <v>Mixed use</v>
          </cell>
          <cell r="BT256" t="str">
            <v>Structure Owner</v>
          </cell>
        </row>
        <row r="256">
          <cell r="VV256" t="str">
            <v>legal</v>
          </cell>
        </row>
        <row r="257">
          <cell r="A257" t="str">
            <v>legal</v>
          </cell>
        </row>
        <row r="257">
          <cell r="C257" t="str">
            <v>VC-022</v>
          </cell>
        </row>
        <row r="257">
          <cell r="E257" t="str">
            <v>269 Mc Arthur Hi-Way, Dalandanan, Valenzuela City</v>
          </cell>
        </row>
        <row r="257">
          <cell r="AS257">
            <v>0.2976</v>
          </cell>
        </row>
        <row r="257">
          <cell r="BS257" t="str">
            <v>Mixed use</v>
          </cell>
          <cell r="BT257" t="str">
            <v>Structure Owner</v>
          </cell>
        </row>
        <row r="257">
          <cell r="VV257" t="str">
            <v>legal</v>
          </cell>
        </row>
        <row r="258">
          <cell r="A258" t="str">
            <v>legal</v>
          </cell>
        </row>
        <row r="258">
          <cell r="C258" t="str">
            <v>VC-023</v>
          </cell>
        </row>
        <row r="258">
          <cell r="E258" t="str">
            <v>269 Mc Arthur Hi-Way, Dalandanan, Valenzuela City</v>
          </cell>
        </row>
        <row r="258">
          <cell r="AS258">
            <v>0.105</v>
          </cell>
        </row>
        <row r="258">
          <cell r="BS258" t="str">
            <v>Residential</v>
          </cell>
          <cell r="BT258" t="str">
            <v>Structure Owner</v>
          </cell>
        </row>
        <row r="258">
          <cell r="VV258" t="str">
            <v>legal</v>
          </cell>
        </row>
        <row r="259">
          <cell r="A259" t="str">
            <v>legal</v>
          </cell>
        </row>
        <row r="259">
          <cell r="C259" t="str">
            <v>VC-024</v>
          </cell>
        </row>
        <row r="259">
          <cell r="E259" t="str">
            <v>269 Mc Arthur Hi-Way, Dalandanan, Valenzuela City</v>
          </cell>
        </row>
        <row r="259">
          <cell r="T259" t="str">
            <v>Vicente C. Velardo</v>
          </cell>
        </row>
        <row r="259">
          <cell r="BS259" t="str">
            <v>Mixed use</v>
          </cell>
          <cell r="BT259" t="str">
            <v>Structure Owner</v>
          </cell>
        </row>
        <row r="259">
          <cell r="JP259">
            <v>1200</v>
          </cell>
        </row>
        <row r="259">
          <cell r="JR259" t="str">
            <v>Can stay</v>
          </cell>
        </row>
        <row r="259">
          <cell r="KG259">
            <v>7000</v>
          </cell>
        </row>
        <row r="259">
          <cell r="VV259" t="str">
            <v>legal</v>
          </cell>
        </row>
        <row r="260">
          <cell r="A260" t="str">
            <v>legal</v>
          </cell>
        </row>
        <row r="260">
          <cell r="C260" t="str">
            <v>VC-025</v>
          </cell>
        </row>
        <row r="260">
          <cell r="E260" t="str">
            <v>261 Mc Arthur Hi-Way, Dalandanan, Valenzuela City</v>
          </cell>
        </row>
        <row r="260">
          <cell r="T260" t="str">
            <v>Villazor, Ronald Villanueva</v>
          </cell>
        </row>
        <row r="260">
          <cell r="AS260">
            <v>0.2087</v>
          </cell>
        </row>
        <row r="260">
          <cell r="BS260" t="str">
            <v>Commercial</v>
          </cell>
          <cell r="BT260" t="str">
            <v>Structure Owner</v>
          </cell>
        </row>
        <row r="260">
          <cell r="VV260" t="str">
            <v>legal</v>
          </cell>
        </row>
        <row r="261">
          <cell r="A261" t="str">
            <v>isf</v>
          </cell>
        </row>
        <row r="261">
          <cell r="C261" t="str">
            <v>VC-026</v>
          </cell>
        </row>
        <row r="261">
          <cell r="E261" t="str">
            <v>Mc Arthur Hi-Way, Dalandanan, Valenzuela City</v>
          </cell>
        </row>
        <row r="261">
          <cell r="T261" t="str">
            <v>Joselito Villacarlos Marabe (Refused)</v>
          </cell>
        </row>
        <row r="261">
          <cell r="BS261" t="str">
            <v>Residential</v>
          </cell>
          <cell r="BT261" t="str">
            <v>Structure Owner</v>
          </cell>
        </row>
        <row r="261">
          <cell r="JR261" t="str">
            <v>Need Displacement</v>
          </cell>
        </row>
        <row r="261">
          <cell r="KI261" t="str">
            <v>No Answer</v>
          </cell>
        </row>
        <row r="262">
          <cell r="A262" t="str">
            <v>isf</v>
          </cell>
        </row>
        <row r="262">
          <cell r="C262" t="str">
            <v>VC-027</v>
          </cell>
        </row>
        <row r="262">
          <cell r="E262" t="str">
            <v># 326, B72 Daang Bakal, San Isidro Labrador, Malinta Valenzuela City</v>
          </cell>
        </row>
        <row r="262">
          <cell r="T262" t="str">
            <v>Mahilom, Erlinda L.</v>
          </cell>
        </row>
        <row r="262">
          <cell r="BS262" t="str">
            <v>Residential</v>
          </cell>
          <cell r="BT262" t="str">
            <v>Structure Owner</v>
          </cell>
        </row>
        <row r="262">
          <cell r="JR262" t="str">
            <v>Need Displacement</v>
          </cell>
        </row>
        <row r="262">
          <cell r="KI262" t="str">
            <v>Relocation</v>
          </cell>
        </row>
        <row r="262">
          <cell r="KL262" t="str">
            <v>Disiplina Village (Brgy Bignay, Valenzuela City)</v>
          </cell>
        </row>
        <row r="262">
          <cell r="KQ262" t="str">
            <v>x</v>
          </cell>
        </row>
        <row r="262">
          <cell r="KX262" t="str">
            <v>No</v>
          </cell>
        </row>
        <row r="262">
          <cell r="KZ262" t="str">
            <v>x</v>
          </cell>
        </row>
        <row r="262">
          <cell r="LB262" t="str">
            <v>x</v>
          </cell>
          <cell r="LC262" t="str">
            <v>x</v>
          </cell>
          <cell r="LD262" t="str">
            <v>x</v>
          </cell>
        </row>
        <row r="263">
          <cell r="A263" t="str">
            <v>isf-r</v>
          </cell>
        </row>
        <row r="263">
          <cell r="C263" t="str">
            <v>VC-027</v>
          </cell>
        </row>
        <row r="263">
          <cell r="E263" t="str">
            <v># 326, B72 Daang Bakal, San Isidro Labrador, Malinta Valenzuela City</v>
          </cell>
        </row>
        <row r="263">
          <cell r="T263" t="str">
            <v>Llantos, Lolita Docena</v>
          </cell>
        </row>
        <row r="263">
          <cell r="BS263" t="str">
            <v>Residential</v>
          </cell>
          <cell r="BT263" t="str">
            <v>Structure Renter</v>
          </cell>
        </row>
        <row r="263">
          <cell r="JR263" t="str">
            <v>Need Displacement</v>
          </cell>
        </row>
        <row r="264">
          <cell r="A264" t="str">
            <v>isf-r</v>
          </cell>
        </row>
        <row r="264">
          <cell r="C264" t="str">
            <v>VC-027</v>
          </cell>
        </row>
        <row r="264">
          <cell r="E264" t="str">
            <v># 326, B72 Daang Bakal, San Isidro Labrador, Malinta Valenzuela City</v>
          </cell>
        </row>
        <row r="264">
          <cell r="T264" t="str">
            <v>Fernandez, Susana Caceres (No SES Details)</v>
          </cell>
        </row>
        <row r="264">
          <cell r="BS264" t="str">
            <v>Residential</v>
          </cell>
          <cell r="BT264" t="str">
            <v>Structure Renter</v>
          </cell>
        </row>
        <row r="264">
          <cell r="JP264">
            <v>400</v>
          </cell>
        </row>
        <row r="264">
          <cell r="JR264" t="str">
            <v>Need Displacement</v>
          </cell>
        </row>
        <row r="265">
          <cell r="A265" t="str">
            <v>isf-r</v>
          </cell>
        </row>
        <row r="265">
          <cell r="C265" t="str">
            <v>VC-027</v>
          </cell>
        </row>
        <row r="265">
          <cell r="E265" t="str">
            <v># 326, B72 Daang Bakal, San Isidro Labrador, Malinta Valenzuela City</v>
          </cell>
        </row>
        <row r="265">
          <cell r="T265" t="str">
            <v>Olanggo, Ricky Paloma</v>
          </cell>
        </row>
        <row r="265">
          <cell r="BS265" t="str">
            <v>Residential</v>
          </cell>
          <cell r="BT265" t="str">
            <v>Structure Renter</v>
          </cell>
        </row>
        <row r="265">
          <cell r="JP265">
            <v>200</v>
          </cell>
        </row>
        <row r="265">
          <cell r="JR265" t="str">
            <v>Need Displacement</v>
          </cell>
        </row>
        <row r="266">
          <cell r="A266" t="str">
            <v>isf-r</v>
          </cell>
        </row>
        <row r="266">
          <cell r="C266" t="str">
            <v>VC-027</v>
          </cell>
        </row>
        <row r="266">
          <cell r="E266" t="str">
            <v># 326, B72 Daang Bakal, San Isidro Labrador, Malinta Valenzuela City</v>
          </cell>
        </row>
        <row r="266">
          <cell r="T266" t="str">
            <v>Rowel Gualba Mabuti</v>
          </cell>
        </row>
        <row r="266">
          <cell r="BS266" t="str">
            <v>Residential</v>
          </cell>
          <cell r="BT266" t="str">
            <v>Structure Renter</v>
          </cell>
        </row>
        <row r="266">
          <cell r="JP266">
            <v>200</v>
          </cell>
        </row>
        <row r="266">
          <cell r="JR266" t="str">
            <v>Need Displacement</v>
          </cell>
        </row>
        <row r="267">
          <cell r="A267" t="str">
            <v>isf-co</v>
          </cell>
        </row>
        <row r="267">
          <cell r="C267" t="str">
            <v>VC-028</v>
          </cell>
        </row>
        <row r="267">
          <cell r="E267" t="str">
            <v># 326, B72 Daang Bakal, San Isidro Labrador, Malinta Valenzuela City</v>
          </cell>
        </row>
        <row r="267">
          <cell r="T267" t="str">
            <v>Casipong, Helberto</v>
          </cell>
        </row>
        <row r="267">
          <cell r="BS267" t="str">
            <v>Residential</v>
          </cell>
          <cell r="BT267" t="str">
            <v>Structure Owner</v>
          </cell>
        </row>
        <row r="267">
          <cell r="JR267" t="str">
            <v>Need Displacement</v>
          </cell>
        </row>
        <row r="267">
          <cell r="KI267" t="str">
            <v>Relocation</v>
          </cell>
          <cell r="KJ267" t="str">
            <v>In City</v>
          </cell>
        </row>
        <row r="267">
          <cell r="KL267" t="str">
            <v>Disiplina Village (Brgy Bignay, Valenzuela City)</v>
          </cell>
        </row>
        <row r="267">
          <cell r="KS267" t="str">
            <v>x</v>
          </cell>
        </row>
        <row r="267">
          <cell r="KW267" t="str">
            <v>Family tie</v>
          </cell>
          <cell r="KX267" t="str">
            <v>Y</v>
          </cell>
        </row>
        <row r="267">
          <cell r="KZ267" t="str">
            <v>x</v>
          </cell>
        </row>
        <row r="267">
          <cell r="LC267" t="str">
            <v>x</v>
          </cell>
        </row>
        <row r="267">
          <cell r="LF267" t="str">
            <v>x</v>
          </cell>
        </row>
        <row r="268">
          <cell r="A268" t="str">
            <v>isf-r</v>
          </cell>
        </row>
        <row r="268">
          <cell r="C268" t="str">
            <v>VC-028</v>
          </cell>
        </row>
        <row r="268">
          <cell r="E268" t="str">
            <v># 326, B72 Daang Bakal, San Isidro Labrador, Malinta Valenzuela City</v>
          </cell>
        </row>
        <row r="268">
          <cell r="T268" t="str">
            <v>Cortan, Sonny</v>
          </cell>
        </row>
        <row r="268">
          <cell r="BS268" t="str">
            <v>Residential</v>
          </cell>
          <cell r="BT268" t="str">
            <v>Co-owner</v>
          </cell>
        </row>
        <row r="268">
          <cell r="JP268">
            <v>400</v>
          </cell>
        </row>
        <row r="268">
          <cell r="JR268" t="str">
            <v>Need Displacement</v>
          </cell>
        </row>
        <row r="269">
          <cell r="A269" t="str">
            <v>isf-r</v>
          </cell>
        </row>
        <row r="269">
          <cell r="C269" t="str">
            <v>VC-028</v>
          </cell>
        </row>
        <row r="269">
          <cell r="E269" t="str">
            <v># 326, B72 Daang Bakal, San Isidro Labrador, Malinta Valenzuela City</v>
          </cell>
        </row>
        <row r="269">
          <cell r="T269" t="str">
            <v>Leon, Jocelyn</v>
          </cell>
        </row>
        <row r="269">
          <cell r="BS269" t="str">
            <v>Residential</v>
          </cell>
          <cell r="BT269" t="str">
            <v>Co-owner</v>
          </cell>
        </row>
        <row r="269">
          <cell r="JP269">
            <v>400</v>
          </cell>
        </row>
        <row r="269">
          <cell r="JR269" t="str">
            <v>Need Displacement</v>
          </cell>
        </row>
        <row r="269">
          <cell r="KI269" t="str">
            <v>Relocation</v>
          </cell>
          <cell r="KJ269" t="str">
            <v>Bulacan</v>
          </cell>
        </row>
        <row r="269">
          <cell r="KL269" t="str">
            <v>Disiplina Village (Brgy Bignay, Valenzuela City)</v>
          </cell>
        </row>
        <row r="269">
          <cell r="KR269" t="str">
            <v>x</v>
          </cell>
        </row>
        <row r="269">
          <cell r="KX269" t="str">
            <v>Y</v>
          </cell>
        </row>
        <row r="269">
          <cell r="LD269" t="str">
            <v>x</v>
          </cell>
        </row>
        <row r="270">
          <cell r="A270" t="str">
            <v>isf</v>
          </cell>
        </row>
        <row r="270">
          <cell r="C270" t="str">
            <v>VC-029</v>
          </cell>
        </row>
        <row r="270">
          <cell r="E270" t="str">
            <v>B70 Daang Bakal, San Isidro Labrador, Malinta Valenzuela City</v>
          </cell>
        </row>
        <row r="270">
          <cell r="T270" t="str">
            <v>Satoquia, Isagani Santos</v>
          </cell>
        </row>
        <row r="270">
          <cell r="BS270" t="str">
            <v>Mixed use</v>
          </cell>
          <cell r="BT270" t="str">
            <v>Structure Owner</v>
          </cell>
        </row>
        <row r="270">
          <cell r="JR270" t="str">
            <v>Need Displacement</v>
          </cell>
        </row>
        <row r="270">
          <cell r="KI270" t="str">
            <v>Cash Compensation/ Balik Probinsiya Program</v>
          </cell>
        </row>
        <row r="271">
          <cell r="A271" t="str">
            <v>isf</v>
          </cell>
        </row>
        <row r="271">
          <cell r="C271" t="str">
            <v>VC-030</v>
          </cell>
        </row>
        <row r="271">
          <cell r="E271" t="str">
            <v>B70 Daang Bakal, San Isidro Labrador, Malinta Valenzuela City</v>
          </cell>
        </row>
        <row r="271">
          <cell r="T271" t="str">
            <v>Santos, Ryan Martinez</v>
          </cell>
        </row>
        <row r="271">
          <cell r="BS271" t="str">
            <v>Residential</v>
          </cell>
          <cell r="BT271" t="str">
            <v>Structure Owner</v>
          </cell>
        </row>
        <row r="271">
          <cell r="JR271" t="str">
            <v>Can Stay</v>
          </cell>
        </row>
        <row r="272">
          <cell r="A272" t="str">
            <v>isf</v>
          </cell>
        </row>
        <row r="272">
          <cell r="C272" t="str">
            <v>VC-031</v>
          </cell>
        </row>
        <row r="272">
          <cell r="E272" t="str">
            <v>B70 Daang Bakal, San Isidro Labrador, Malinta Valenzuela City</v>
          </cell>
        </row>
        <row r="272">
          <cell r="T272" t="str">
            <v>Mendoza, Eden Balavadia</v>
          </cell>
        </row>
        <row r="272">
          <cell r="BS272" t="str">
            <v>Residential</v>
          </cell>
          <cell r="BT272" t="str">
            <v>Structure Owner</v>
          </cell>
        </row>
        <row r="272">
          <cell r="JR272" t="str">
            <v>Need Displacement</v>
          </cell>
        </row>
        <row r="272">
          <cell r="KI272" t="str">
            <v>No Answer</v>
          </cell>
        </row>
        <row r="273">
          <cell r="A273" t="str">
            <v>isf</v>
          </cell>
        </row>
        <row r="273">
          <cell r="C273" t="str">
            <v>VC-032</v>
          </cell>
        </row>
        <row r="273">
          <cell r="E273" t="str">
            <v>B70 Daang Bakal, San Isidro Labrador, Malinta Valenzuela City</v>
          </cell>
        </row>
        <row r="273">
          <cell r="T273" t="str">
            <v>Balajadia, Edelizar D.</v>
          </cell>
        </row>
        <row r="273">
          <cell r="BS273" t="str">
            <v>Residential</v>
          </cell>
          <cell r="BT273" t="str">
            <v>Structure Owner</v>
          </cell>
        </row>
        <row r="273">
          <cell r="JR273" t="str">
            <v>Need Displacement</v>
          </cell>
        </row>
        <row r="273">
          <cell r="KI273" t="str">
            <v>Cash Compensation/ Balik Probinsiya Program</v>
          </cell>
        </row>
        <row r="274">
          <cell r="A274" t="str">
            <v>isf</v>
          </cell>
        </row>
        <row r="274">
          <cell r="C274" t="str">
            <v>VC-033</v>
          </cell>
        </row>
        <row r="274">
          <cell r="E274" t="str">
            <v>326 Mc Arthur Hi-Way, Malinta, Valenzuela City Malanday</v>
          </cell>
        </row>
        <row r="274">
          <cell r="T274" t="str">
            <v>Veroy, Bernardo Villanueva</v>
          </cell>
        </row>
        <row r="274">
          <cell r="BS274" t="str">
            <v>Mixed use</v>
          </cell>
          <cell r="BT274" t="str">
            <v>Structure Owner</v>
          </cell>
        </row>
        <row r="274">
          <cell r="JR274" t="str">
            <v>Need Displacement</v>
          </cell>
        </row>
        <row r="274">
          <cell r="KI274" t="str">
            <v>Relocation</v>
          </cell>
        </row>
        <row r="274">
          <cell r="KL274" t="str">
            <v>Disiplina Village (Brgy Bignay, Valenzuela City)</v>
          </cell>
        </row>
        <row r="274">
          <cell r="KR274" t="str">
            <v>x</v>
          </cell>
          <cell r="KS274" t="str">
            <v>x</v>
          </cell>
          <cell r="KT274" t="str">
            <v>x</v>
          </cell>
          <cell r="KU274" t="str">
            <v>x</v>
          </cell>
        </row>
        <row r="274">
          <cell r="KX274" t="str">
            <v>Yes</v>
          </cell>
        </row>
        <row r="274">
          <cell r="LD274" t="str">
            <v>x</v>
          </cell>
        </row>
        <row r="274">
          <cell r="LF274" t="str">
            <v>x</v>
          </cell>
        </row>
        <row r="275">
          <cell r="A275" t="str">
            <v>isf</v>
          </cell>
        </row>
        <row r="275">
          <cell r="C275" t="str">
            <v>VC-034</v>
          </cell>
        </row>
        <row r="275">
          <cell r="E275" t="str">
            <v>326 Mc Arthur Hi-Way, Malinta, Valenzuela City Malanday</v>
          </cell>
        </row>
        <row r="275">
          <cell r="T275" t="str">
            <v>Veroy, Rommel V.</v>
          </cell>
        </row>
        <row r="275">
          <cell r="BS275" t="str">
            <v>Residential</v>
          </cell>
          <cell r="BT275" t="str">
            <v>Structure Owner</v>
          </cell>
        </row>
        <row r="275">
          <cell r="JR275" t="str">
            <v>Need Displacement</v>
          </cell>
        </row>
        <row r="275">
          <cell r="KI275" t="str">
            <v>Relocation</v>
          </cell>
        </row>
        <row r="275">
          <cell r="KL275" t="str">
            <v>Disiplina Village (Brgy Bignay, Valenzuela City)</v>
          </cell>
        </row>
        <row r="276">
          <cell r="A276" t="str">
            <v>isf</v>
          </cell>
        </row>
        <row r="276">
          <cell r="C276" t="str">
            <v>VC -035</v>
          </cell>
        </row>
        <row r="276">
          <cell r="E276" t="str">
            <v>326 Mc Arthur Hi-Way, Malinta, Valenzuela City Malanday</v>
          </cell>
        </row>
        <row r="276">
          <cell r="T276" t="str">
            <v>Rado, Alvin V.</v>
          </cell>
        </row>
        <row r="276">
          <cell r="BS276" t="str">
            <v>Residential</v>
          </cell>
          <cell r="BT276" t="str">
            <v>Structure Owner</v>
          </cell>
        </row>
        <row r="276">
          <cell r="JR276" t="str">
            <v>Need Displacement</v>
          </cell>
        </row>
        <row r="276">
          <cell r="KI276" t="str">
            <v>Relocation</v>
          </cell>
        </row>
        <row r="276">
          <cell r="KL276" t="str">
            <v>Disiplina Village (Brgy Bignay, Valenzuela City)</v>
          </cell>
        </row>
        <row r="277">
          <cell r="A277" t="str">
            <v>isf</v>
          </cell>
        </row>
        <row r="277">
          <cell r="C277" t="str">
            <v>VC-036</v>
          </cell>
        </row>
        <row r="277">
          <cell r="E277" t="str">
            <v>326 Mc Arthur Hi-Way, Malinta, Valenzuela City Malanday</v>
          </cell>
        </row>
        <row r="277">
          <cell r="T277" t="str">
            <v>Balajadia, Edna A.</v>
          </cell>
        </row>
        <row r="277">
          <cell r="BS277" t="str">
            <v>Residential</v>
          </cell>
          <cell r="BT277" t="str">
            <v>Structure Owner</v>
          </cell>
        </row>
        <row r="277">
          <cell r="JR277" t="str">
            <v>Need Displacement</v>
          </cell>
        </row>
        <row r="277">
          <cell r="KI277" t="str">
            <v>Cash Compensation/ Balik Probinsiya Program</v>
          </cell>
        </row>
        <row r="278">
          <cell r="A278" t="str">
            <v>isf-sh</v>
          </cell>
        </row>
        <row r="278">
          <cell r="C278" t="str">
            <v>VC-036</v>
          </cell>
        </row>
        <row r="278">
          <cell r="E278" t="str">
            <v>326 Mc Arthur Hi-Way, Malinta, Valenzuela City Malanday</v>
          </cell>
        </row>
        <row r="278">
          <cell r="T278" t="str">
            <v>Paguel, Hitler B.</v>
          </cell>
        </row>
        <row r="278">
          <cell r="BS278" t="str">
            <v>Residential</v>
          </cell>
          <cell r="BT278" t="str">
            <v>Sharer</v>
          </cell>
        </row>
        <row r="278">
          <cell r="JR278" t="str">
            <v>Need Displacement</v>
          </cell>
        </row>
        <row r="279">
          <cell r="A279" t="str">
            <v>isf-co</v>
          </cell>
        </row>
        <row r="279">
          <cell r="C279" t="str">
            <v>VC-037</v>
          </cell>
        </row>
        <row r="279">
          <cell r="E279" t="str">
            <v>326 Mc Arthur Hi-Way, Malinta, Valenzuela City Malanday</v>
          </cell>
        </row>
        <row r="279">
          <cell r="T279" t="str">
            <v>Liquigan, Marycris</v>
          </cell>
        </row>
        <row r="279">
          <cell r="BS279" t="str">
            <v>Residential</v>
          </cell>
          <cell r="BT279" t="str">
            <v>Structure Owner</v>
          </cell>
        </row>
        <row r="279">
          <cell r="JP279">
            <v>200</v>
          </cell>
        </row>
        <row r="279">
          <cell r="JR279" t="str">
            <v>Need Displacement</v>
          </cell>
        </row>
        <row r="279">
          <cell r="KI279" t="str">
            <v>Cash Compensation/ Balik Probinsiya Program</v>
          </cell>
        </row>
        <row r="280">
          <cell r="A280" t="str">
            <v>isf-co</v>
          </cell>
        </row>
        <row r="280">
          <cell r="C280" t="str">
            <v>VC-037</v>
          </cell>
        </row>
        <row r="280">
          <cell r="E280" t="str">
            <v>326 Mc Arthur Hi-Way, Malinta, Valenzuela City Malanday</v>
          </cell>
        </row>
        <row r="280">
          <cell r="T280" t="str">
            <v>Dimalanta, Teofilo</v>
          </cell>
        </row>
        <row r="280">
          <cell r="BS280" t="str">
            <v>Residential</v>
          </cell>
          <cell r="BT280" t="str">
            <v>Co-owner</v>
          </cell>
        </row>
        <row r="280">
          <cell r="JR280" t="str">
            <v>Need Displacement</v>
          </cell>
        </row>
        <row r="280">
          <cell r="KI280" t="str">
            <v>UNDECIDED</v>
          </cell>
        </row>
        <row r="281">
          <cell r="A281" t="str">
            <v>isf</v>
          </cell>
        </row>
        <row r="281">
          <cell r="C281" t="str">
            <v>VC-038</v>
          </cell>
        </row>
        <row r="281">
          <cell r="E281" t="str">
            <v>326 Mc Arthur Hi-Way, Malinta, Valenzuela City Malanday</v>
          </cell>
        </row>
        <row r="281">
          <cell r="T281" t="str">
            <v>Balajadia, Jonel A.</v>
          </cell>
        </row>
        <row r="281">
          <cell r="BS281" t="str">
            <v>Residential</v>
          </cell>
          <cell r="BT281" t="str">
            <v>Structure Owner</v>
          </cell>
        </row>
        <row r="281">
          <cell r="JR281" t="str">
            <v>Can Stay</v>
          </cell>
        </row>
        <row r="281">
          <cell r="KG281">
            <v>1500</v>
          </cell>
        </row>
        <row r="281">
          <cell r="KI281" t="str">
            <v>Cash Compensation</v>
          </cell>
        </row>
        <row r="282">
          <cell r="A282" t="str">
            <v>isf-r</v>
          </cell>
        </row>
        <row r="282">
          <cell r="C282" t="str">
            <v>VC-038</v>
          </cell>
        </row>
        <row r="282">
          <cell r="E282" t="str">
            <v>326 Mc Arthur Hi-Way, Malinta, Valenzuela City Malanday</v>
          </cell>
        </row>
        <row r="282">
          <cell r="T282" t="str">
            <v>Casople, Joey De Guzman</v>
          </cell>
        </row>
        <row r="282">
          <cell r="BS282" t="str">
            <v>Residential</v>
          </cell>
          <cell r="BT282" t="str">
            <v>Structure Renter</v>
          </cell>
        </row>
        <row r="282">
          <cell r="JP282">
            <v>800</v>
          </cell>
        </row>
        <row r="282">
          <cell r="JR282" t="str">
            <v>Can Stay</v>
          </cell>
        </row>
        <row r="283">
          <cell r="A283" t="str">
            <v>isf</v>
          </cell>
        </row>
        <row r="283">
          <cell r="C283" t="str">
            <v>VC-039</v>
          </cell>
        </row>
        <row r="283">
          <cell r="E283" t="str">
            <v>326 Mc Arthur Hi-Way, Malinta, Valenzuela City Malanday</v>
          </cell>
        </row>
        <row r="283">
          <cell r="T283" t="str">
            <v>Fabiala, Pedro</v>
          </cell>
        </row>
        <row r="283">
          <cell r="BS283" t="str">
            <v>Residential</v>
          </cell>
          <cell r="BT283" t="str">
            <v>Structure Owner</v>
          </cell>
        </row>
        <row r="283">
          <cell r="JP283">
            <v>400</v>
          </cell>
        </row>
        <row r="283">
          <cell r="JR283" t="str">
            <v>Need Displacement</v>
          </cell>
        </row>
        <row r="283">
          <cell r="KI283" t="str">
            <v>Relocation</v>
          </cell>
          <cell r="KJ283" t="str">
            <v>In City</v>
          </cell>
        </row>
        <row r="283">
          <cell r="KL283" t="str">
            <v>Disiplina Village (Brgy Bignay, Valenzuela City)</v>
          </cell>
        </row>
        <row r="283">
          <cell r="KQ283" t="str">
            <v>x</v>
          </cell>
          <cell r="KR283" t="str">
            <v>x</v>
          </cell>
          <cell r="KS283" t="str">
            <v>x</v>
          </cell>
          <cell r="KT283" t="str">
            <v>x</v>
          </cell>
          <cell r="KU283" t="str">
            <v>x</v>
          </cell>
          <cell r="KV283" t="str">
            <v>x</v>
          </cell>
          <cell r="KW283" t="str">
            <v>x</v>
          </cell>
          <cell r="KX283" t="str">
            <v>Y</v>
          </cell>
        </row>
        <row r="283">
          <cell r="KZ283" t="str">
            <v>x</v>
          </cell>
          <cell r="LA283" t="str">
            <v>x</v>
          </cell>
          <cell r="LB283" t="str">
            <v>x</v>
          </cell>
          <cell r="LC283" t="str">
            <v>x</v>
          </cell>
          <cell r="LD283" t="str">
            <v>x</v>
          </cell>
          <cell r="LE283" t="str">
            <v>x</v>
          </cell>
          <cell r="LF283" t="str">
            <v>x</v>
          </cell>
        </row>
        <row r="284">
          <cell r="A284" t="str">
            <v>isf</v>
          </cell>
        </row>
        <row r="284">
          <cell r="C284" t="str">
            <v>VC-040</v>
          </cell>
        </row>
        <row r="284">
          <cell r="E284" t="str">
            <v>326 Mc Arthur Hi-Way, Malinta, Valenzuela City Malanday</v>
          </cell>
        </row>
        <row r="284">
          <cell r="T284" t="str">
            <v>Zorilla, Nomer Espiritu</v>
          </cell>
        </row>
        <row r="284">
          <cell r="BS284" t="str">
            <v>Residential</v>
          </cell>
          <cell r="BT284" t="str">
            <v>Structure Owner</v>
          </cell>
        </row>
        <row r="284">
          <cell r="JR284" t="str">
            <v>Need Displacement</v>
          </cell>
        </row>
        <row r="284">
          <cell r="KI284" t="str">
            <v>Relocation</v>
          </cell>
        </row>
        <row r="284">
          <cell r="KL284" t="str">
            <v>Disiplina Village (Brgy Bignay, Valenzuela City)</v>
          </cell>
        </row>
        <row r="285">
          <cell r="A285" t="str">
            <v>isf</v>
          </cell>
        </row>
        <row r="285">
          <cell r="C285" t="str">
            <v>VC-041</v>
          </cell>
        </row>
        <row r="285">
          <cell r="E285" t="str">
            <v>326 Mc Arthur Hi-Way, Malinta, Valenzuela City Malanday</v>
          </cell>
        </row>
        <row r="285">
          <cell r="T285" t="str">
            <v>Licarus, Mary Jane Sanchez</v>
          </cell>
        </row>
        <row r="285">
          <cell r="BS285" t="str">
            <v>Residential</v>
          </cell>
          <cell r="BT285" t="str">
            <v>Structure Owner</v>
          </cell>
        </row>
        <row r="285">
          <cell r="JR285" t="str">
            <v>Need Displacement</v>
          </cell>
        </row>
        <row r="285">
          <cell r="KI285" t="str">
            <v>Cash Compensation/ Balik Probinsiya Program</v>
          </cell>
        </row>
        <row r="286">
          <cell r="A286" t="str">
            <v>isf</v>
          </cell>
        </row>
        <row r="286">
          <cell r="C286" t="str">
            <v>VC-042</v>
          </cell>
        </row>
        <row r="286">
          <cell r="E286" t="str">
            <v>326 Mc Arthur Hi-Way, Malinta, Valenzuela City Malanday</v>
          </cell>
        </row>
        <row r="286">
          <cell r="T286" t="str">
            <v>Tan, Rosalina Batoon</v>
          </cell>
        </row>
        <row r="286">
          <cell r="BS286" t="str">
            <v>Residential</v>
          </cell>
          <cell r="BT286" t="str">
            <v>Structure Owner</v>
          </cell>
        </row>
        <row r="286">
          <cell r="JR286" t="str">
            <v>Need Displacement</v>
          </cell>
        </row>
        <row r="286">
          <cell r="KG286">
            <v>2000</v>
          </cell>
        </row>
        <row r="286">
          <cell r="KI286" t="str">
            <v>Relocation</v>
          </cell>
        </row>
        <row r="286">
          <cell r="KL286" t="str">
            <v>Disiplina Village (Brgy Bignay, Valenzuela City)</v>
          </cell>
        </row>
        <row r="286">
          <cell r="KQ286" t="str">
            <v>x</v>
          </cell>
        </row>
        <row r="286">
          <cell r="KX286" t="str">
            <v>Y</v>
          </cell>
        </row>
        <row r="286">
          <cell r="KZ286" t="str">
            <v>x</v>
          </cell>
          <cell r="LA286" t="str">
            <v>x</v>
          </cell>
          <cell r="LB286" t="str">
            <v>x</v>
          </cell>
          <cell r="LC286" t="str">
            <v>x</v>
          </cell>
          <cell r="LD286" t="str">
            <v>x</v>
          </cell>
          <cell r="LE286" t="str">
            <v>x</v>
          </cell>
        </row>
        <row r="287">
          <cell r="A287" t="str">
            <v>isf-co</v>
          </cell>
        </row>
        <row r="287">
          <cell r="C287" t="str">
            <v>VC-042</v>
          </cell>
        </row>
        <row r="287">
          <cell r="E287" t="str">
            <v>326 Mc Arthur Hi-Way, Malinta, Valenzuela City Malanday</v>
          </cell>
        </row>
        <row r="287">
          <cell r="T287" t="str">
            <v>Ponce, Jeffrey</v>
          </cell>
        </row>
        <row r="287">
          <cell r="BS287" t="str">
            <v>Residential</v>
          </cell>
          <cell r="BT287" t="str">
            <v>Sharer</v>
          </cell>
        </row>
        <row r="287">
          <cell r="JR287" t="str">
            <v>Need Displacement</v>
          </cell>
        </row>
        <row r="287">
          <cell r="KI287" t="str">
            <v>Relocation</v>
          </cell>
        </row>
        <row r="287">
          <cell r="KL287" t="str">
            <v>Disiplina Village (Brgy Bignay, Valenzuela City)</v>
          </cell>
        </row>
        <row r="288">
          <cell r="A288" t="str">
            <v>isf-r</v>
          </cell>
        </row>
        <row r="288">
          <cell r="C288" t="str">
            <v>VC-042</v>
          </cell>
        </row>
        <row r="288">
          <cell r="E288" t="str">
            <v>326 Mc Arthur Hi-Way, Malinta, Valenzuela City Malanday</v>
          </cell>
        </row>
        <row r="288">
          <cell r="T288" t="str">
            <v>Corpuz, Ronalyn</v>
          </cell>
        </row>
        <row r="288">
          <cell r="BS288" t="str">
            <v>Residential</v>
          </cell>
          <cell r="BT288" t="str">
            <v>Structure Renter</v>
          </cell>
        </row>
        <row r="288">
          <cell r="JR288" t="str">
            <v>Need Displacement</v>
          </cell>
        </row>
        <row r="288">
          <cell r="KI288" t="str">
            <v>Balik Probinsya Program</v>
          </cell>
        </row>
        <row r="289">
          <cell r="A289" t="str">
            <v>isf-abs</v>
          </cell>
        </row>
        <row r="289">
          <cell r="C289" t="str">
            <v>VC-042</v>
          </cell>
        </row>
        <row r="289">
          <cell r="E289" t="str">
            <v>326 Mc Arthur Hi-Way, Malinta, Valenzuela City Malanday</v>
          </cell>
        </row>
        <row r="289">
          <cell r="T289" t="str">
            <v>Walter B. Tan</v>
          </cell>
        </row>
        <row r="289">
          <cell r="BS289" t="str">
            <v>Residential</v>
          </cell>
          <cell r="BT289" t="str">
            <v>Structure Renter</v>
          </cell>
        </row>
        <row r="289">
          <cell r="JR289" t="str">
            <v>Need Displacement</v>
          </cell>
        </row>
        <row r="290">
          <cell r="A290" t="str">
            <v>isf-co</v>
          </cell>
        </row>
        <row r="290">
          <cell r="C290" t="str">
            <v>VC-043</v>
          </cell>
        </row>
        <row r="290">
          <cell r="E290" t="str">
            <v>326 Mc Arthur Hi-Way, Malinta, Valenzuela City Malanday</v>
          </cell>
        </row>
        <row r="290">
          <cell r="T290" t="str">
            <v>Peru, Adrian Tambong</v>
          </cell>
        </row>
        <row r="290">
          <cell r="BS290" t="str">
            <v>Residential</v>
          </cell>
          <cell r="BT290" t="str">
            <v>Structure Owner</v>
          </cell>
        </row>
        <row r="290">
          <cell r="JR290" t="str">
            <v>Need Displacement</v>
          </cell>
        </row>
        <row r="290">
          <cell r="KI290" t="str">
            <v>No Answer</v>
          </cell>
        </row>
        <row r="291">
          <cell r="A291" t="str">
            <v>isf-co</v>
          </cell>
        </row>
        <row r="291">
          <cell r="C291" t="str">
            <v>VC-043</v>
          </cell>
        </row>
        <row r="291">
          <cell r="E291" t="str">
            <v>326 Mc Arthur Hi-Way, Malinta, Valenzuela City Malanday</v>
          </cell>
        </row>
        <row r="291">
          <cell r="T291" t="str">
            <v>Cabais, Hermalyn Enem</v>
          </cell>
        </row>
        <row r="291">
          <cell r="BS291" t="str">
            <v>Residential</v>
          </cell>
          <cell r="BT291" t="str">
            <v>Co-owner</v>
          </cell>
        </row>
        <row r="291">
          <cell r="JP291">
            <v>400</v>
          </cell>
        </row>
        <row r="291">
          <cell r="JR291" t="str">
            <v>Need Displacement</v>
          </cell>
        </row>
        <row r="292">
          <cell r="A292" t="str">
            <v>isf</v>
          </cell>
        </row>
        <row r="292">
          <cell r="C292" t="str">
            <v>VC-044</v>
          </cell>
        </row>
        <row r="292">
          <cell r="E292" t="str">
            <v>326 Mc Arthur Hi-Way, Malinta, Valenzuela City Malanday</v>
          </cell>
        </row>
        <row r="292">
          <cell r="T292" t="str">
            <v>Pante, Teresa V.</v>
          </cell>
        </row>
        <row r="292">
          <cell r="BS292" t="str">
            <v>Mixed use</v>
          </cell>
          <cell r="BT292" t="str">
            <v>Structure Owner</v>
          </cell>
        </row>
        <row r="292">
          <cell r="JR292" t="str">
            <v>Need Displacement</v>
          </cell>
        </row>
        <row r="292">
          <cell r="KI292" t="str">
            <v>Relocation</v>
          </cell>
        </row>
        <row r="292">
          <cell r="KL292" t="str">
            <v>Disiplina Village (Brgy Bignay, Valenzuela City)</v>
          </cell>
        </row>
        <row r="292">
          <cell r="KQ292" t="str">
            <v>x</v>
          </cell>
        </row>
        <row r="292">
          <cell r="KX292" t="str">
            <v>Y</v>
          </cell>
        </row>
        <row r="292">
          <cell r="KZ292" t="str">
            <v>x</v>
          </cell>
          <cell r="LA292" t="str">
            <v>x</v>
          </cell>
          <cell r="LB292" t="str">
            <v>x</v>
          </cell>
          <cell r="LC292" t="str">
            <v>x</v>
          </cell>
          <cell r="LD292" t="str">
            <v>x</v>
          </cell>
          <cell r="LE292" t="str">
            <v>x</v>
          </cell>
          <cell r="LF292" t="str">
            <v>x</v>
          </cell>
        </row>
        <row r="293">
          <cell r="A293" t="str">
            <v>isf</v>
          </cell>
        </row>
        <row r="293">
          <cell r="C293" t="str">
            <v>VC-045</v>
          </cell>
        </row>
        <row r="293">
          <cell r="E293" t="str">
            <v>326 Mc Arthur Hi-Way, Malinta, Valenzuela City Malanday</v>
          </cell>
        </row>
        <row r="293">
          <cell r="T293" t="str">
            <v>Alamo, Renan Aringo</v>
          </cell>
        </row>
        <row r="293">
          <cell r="BS293" t="str">
            <v>Residential</v>
          </cell>
          <cell r="BT293" t="str">
            <v>Structure Owner</v>
          </cell>
        </row>
        <row r="293">
          <cell r="JR293" t="str">
            <v>Need Displacement</v>
          </cell>
        </row>
        <row r="293">
          <cell r="KI293" t="str">
            <v>Relocation</v>
          </cell>
        </row>
        <row r="293">
          <cell r="KL293" t="str">
            <v>Disiplina Village (Brgy Bignay, Valenzuela City)</v>
          </cell>
        </row>
        <row r="294">
          <cell r="A294" t="str">
            <v>isf</v>
          </cell>
        </row>
        <row r="294">
          <cell r="C294" t="str">
            <v>VC-046</v>
          </cell>
        </row>
        <row r="294">
          <cell r="E294" t="str">
            <v>326 Mc Arthur Hi-Way, Malinta, Valenzuela City Malanday</v>
          </cell>
        </row>
        <row r="294">
          <cell r="T294" t="str">
            <v>Mateo, Estanislao P.</v>
          </cell>
        </row>
        <row r="294">
          <cell r="BS294" t="str">
            <v>Residential</v>
          </cell>
          <cell r="BT294" t="str">
            <v>Structure Owner</v>
          </cell>
        </row>
        <row r="294">
          <cell r="JR294" t="str">
            <v>Need Displacement</v>
          </cell>
        </row>
        <row r="294">
          <cell r="KI294" t="str">
            <v>Relocation</v>
          </cell>
          <cell r="KJ294" t="str">
            <v>Bulacan</v>
          </cell>
        </row>
        <row r="294">
          <cell r="KL294" t="str">
            <v>NorthVille 7, Brgy. Malis, Guiguinto Bulacan</v>
          </cell>
        </row>
        <row r="294">
          <cell r="KT294" t="str">
            <v>x</v>
          </cell>
        </row>
        <row r="294">
          <cell r="KW294" t="str">
            <v>Family ties</v>
          </cell>
          <cell r="KX294" t="str">
            <v>Y</v>
          </cell>
        </row>
        <row r="295">
          <cell r="A295" t="str">
            <v>isf</v>
          </cell>
        </row>
        <row r="295">
          <cell r="C295" t="str">
            <v>VC-047</v>
          </cell>
        </row>
        <row r="295">
          <cell r="E295" t="str">
            <v>326 Mc Arthur Hi-Way, Malinta, Valenzuela City Malanday</v>
          </cell>
        </row>
        <row r="295">
          <cell r="T295" t="str">
            <v>Bito, Jerald James S.</v>
          </cell>
        </row>
        <row r="295">
          <cell r="BS295" t="str">
            <v>Residential</v>
          </cell>
          <cell r="BT295" t="str">
            <v>Structure Owner</v>
          </cell>
        </row>
        <row r="295">
          <cell r="JR295" t="str">
            <v>Need Displacement</v>
          </cell>
        </row>
        <row r="295">
          <cell r="KI295" t="str">
            <v>Relocation</v>
          </cell>
        </row>
        <row r="295">
          <cell r="KL295" t="str">
            <v>Disiplina Village (Brgy Bignay, Valenzuela City)</v>
          </cell>
        </row>
        <row r="295">
          <cell r="KQ295" t="str">
            <v>x</v>
          </cell>
          <cell r="KR295" t="str">
            <v>x</v>
          </cell>
        </row>
        <row r="295">
          <cell r="KX295" t="str">
            <v>Y</v>
          </cell>
        </row>
        <row r="295">
          <cell r="KZ295" t="str">
            <v>x</v>
          </cell>
          <cell r="LA295" t="str">
            <v>x</v>
          </cell>
          <cell r="LB295" t="str">
            <v>x</v>
          </cell>
          <cell r="LC295" t="str">
            <v>x</v>
          </cell>
          <cell r="LD295" t="str">
            <v>x</v>
          </cell>
          <cell r="LE295" t="str">
            <v>x</v>
          </cell>
          <cell r="LF295" t="str">
            <v>x</v>
          </cell>
        </row>
        <row r="296">
          <cell r="A296" t="str">
            <v>isf</v>
          </cell>
        </row>
        <row r="296">
          <cell r="C296" t="str">
            <v>VC-048</v>
          </cell>
        </row>
        <row r="296">
          <cell r="E296" t="str">
            <v>326 Mc Arthur Hi-Way, Malinta, Valenzuela City Malanday</v>
          </cell>
        </row>
        <row r="296">
          <cell r="T296" t="str">
            <v>Doma, Estela Vargas</v>
          </cell>
        </row>
        <row r="296">
          <cell r="BS296" t="str">
            <v>Residential</v>
          </cell>
          <cell r="BT296" t="str">
            <v>Structure Owner</v>
          </cell>
        </row>
        <row r="296">
          <cell r="JR296" t="str">
            <v>Need Displacement</v>
          </cell>
        </row>
        <row r="296">
          <cell r="KI296" t="str">
            <v>Cash Compensation/ Balik Probinsiya Program</v>
          </cell>
        </row>
        <row r="297">
          <cell r="A297" t="str">
            <v>isf</v>
          </cell>
        </row>
        <row r="297">
          <cell r="C297" t="str">
            <v>VC-050</v>
          </cell>
        </row>
        <row r="297">
          <cell r="E297" t="str">
            <v>118 Cortez St., Malinta Valenzuela City</v>
          </cell>
        </row>
        <row r="297">
          <cell r="T297" t="str">
            <v>Bie Sr, Serafin S.</v>
          </cell>
        </row>
        <row r="297">
          <cell r="BS297" t="str">
            <v>Residential</v>
          </cell>
          <cell r="BT297" t="str">
            <v>Structure Owner</v>
          </cell>
        </row>
        <row r="297">
          <cell r="JR297" t="str">
            <v>Need Displacement</v>
          </cell>
        </row>
        <row r="297">
          <cell r="KI297" t="str">
            <v>Relocation</v>
          </cell>
        </row>
        <row r="297">
          <cell r="KL297" t="str">
            <v>Disiplina Village (Brgy Bignay, Valenzuela City)</v>
          </cell>
        </row>
        <row r="297">
          <cell r="KQ297" t="str">
            <v>x</v>
          </cell>
          <cell r="KR297" t="str">
            <v>x</v>
          </cell>
        </row>
        <row r="297">
          <cell r="KX297" t="str">
            <v>Y</v>
          </cell>
        </row>
        <row r="297">
          <cell r="LF297" t="str">
            <v>x</v>
          </cell>
        </row>
        <row r="298">
          <cell r="A298" t="str">
            <v>isf-sh</v>
          </cell>
        </row>
        <row r="298">
          <cell r="C298" t="str">
            <v>VC-050</v>
          </cell>
        </row>
        <row r="298">
          <cell r="E298" t="str">
            <v>118 Cortez St., Malinta Valenzuela City</v>
          </cell>
        </row>
        <row r="298">
          <cell r="T298" t="str">
            <v>Baloloy Rindado (CBL)</v>
          </cell>
        </row>
        <row r="298">
          <cell r="BS298" t="str">
            <v>Residential</v>
          </cell>
          <cell r="BT298" t="str">
            <v>Co-owner</v>
          </cell>
        </row>
        <row r="298">
          <cell r="JR298" t="str">
            <v>Need Displacement</v>
          </cell>
        </row>
        <row r="299">
          <cell r="A299" t="str">
            <v>legal</v>
          </cell>
        </row>
        <row r="299">
          <cell r="C299" t="str">
            <v>VC-051</v>
          </cell>
        </row>
        <row r="299">
          <cell r="E299" t="str">
            <v>105 Cortez St., Malinta Valenzuela City</v>
          </cell>
        </row>
        <row r="299">
          <cell r="AS299">
            <v>0.51896</v>
          </cell>
        </row>
        <row r="299">
          <cell r="BS299" t="str">
            <v>Residential</v>
          </cell>
          <cell r="BT299" t="str">
            <v>Structure Owner</v>
          </cell>
        </row>
        <row r="299">
          <cell r="JP299">
            <v>500</v>
          </cell>
        </row>
        <row r="299">
          <cell r="JR299" t="str">
            <v>Can Stay</v>
          </cell>
        </row>
        <row r="299">
          <cell r="VV299" t="str">
            <v>legal</v>
          </cell>
        </row>
        <row r="300">
          <cell r="A300" t="str">
            <v>legal</v>
          </cell>
        </row>
        <row r="300">
          <cell r="C300" t="str">
            <v>VC-052</v>
          </cell>
        </row>
        <row r="300">
          <cell r="E300" t="str">
            <v>105 Cortez St., Malinta Valenzuela City</v>
          </cell>
        </row>
        <row r="300">
          <cell r="AS300">
            <v>0.4</v>
          </cell>
        </row>
        <row r="300">
          <cell r="BS300" t="str">
            <v>Residential</v>
          </cell>
          <cell r="BT300" t="str">
            <v>Structure Owner</v>
          </cell>
        </row>
        <row r="300">
          <cell r="VV300" t="str">
            <v>legal</v>
          </cell>
        </row>
        <row r="301">
          <cell r="A301" t="str">
            <v>legal</v>
          </cell>
        </row>
        <row r="301">
          <cell r="C301" t="str">
            <v>VC-052</v>
          </cell>
        </row>
        <row r="301">
          <cell r="E301" t="str">
            <v>105 Cortez St., Malinta Valenzuela City</v>
          </cell>
        </row>
        <row r="301">
          <cell r="BS301" t="str">
            <v>Residential</v>
          </cell>
          <cell r="BT301" t="str">
            <v>Sharer</v>
          </cell>
        </row>
        <row r="301">
          <cell r="JR301" t="str">
            <v>Can Stay</v>
          </cell>
        </row>
        <row r="301">
          <cell r="VV301" t="str">
            <v>legal</v>
          </cell>
        </row>
        <row r="302">
          <cell r="A302" t="str">
            <v>legal</v>
          </cell>
        </row>
        <row r="302">
          <cell r="C302" t="str">
            <v>VC-053</v>
          </cell>
        </row>
        <row r="302">
          <cell r="E302" t="str">
            <v>104 Cortez St., Malinta Valenzuela City</v>
          </cell>
        </row>
        <row r="302">
          <cell r="AS302">
            <v>0.127167630057803</v>
          </cell>
        </row>
        <row r="302">
          <cell r="BS302" t="str">
            <v>Residential</v>
          </cell>
          <cell r="BT302" t="str">
            <v>Structure Owner</v>
          </cell>
        </row>
        <row r="302">
          <cell r="VV302" t="str">
            <v>legal</v>
          </cell>
        </row>
        <row r="303">
          <cell r="A303" t="str">
            <v>legal 302</v>
          </cell>
        </row>
        <row r="303">
          <cell r="C303" t="str">
            <v>VC-053</v>
          </cell>
        </row>
        <row r="303">
          <cell r="E303" t="str">
            <v>104 Cortez St., Malinta Valenzuela City</v>
          </cell>
        </row>
        <row r="303">
          <cell r="T303" t="str">
            <v>Simbulan, Eduardo</v>
          </cell>
        </row>
        <row r="303">
          <cell r="BS303" t="str">
            <v>Residential</v>
          </cell>
          <cell r="BT303" t="str">
            <v>Caretaker</v>
          </cell>
        </row>
        <row r="303">
          <cell r="JR303" t="str">
            <v>Need Displacement</v>
          </cell>
        </row>
        <row r="303">
          <cell r="VV303" t="str">
            <v>legal 302</v>
          </cell>
        </row>
        <row r="304">
          <cell r="A304" t="str">
            <v>legal</v>
          </cell>
        </row>
        <row r="304">
          <cell r="C304" t="str">
            <v>VC-053</v>
          </cell>
        </row>
        <row r="304">
          <cell r="E304" t="str">
            <v>104 Cortez St., Malinta Valenzuela City</v>
          </cell>
        </row>
        <row r="304">
          <cell r="T304" t="str">
            <v>Soan, Reynaldo Barrantes</v>
          </cell>
        </row>
        <row r="304">
          <cell r="AS304">
            <v>0.2402</v>
          </cell>
        </row>
        <row r="304">
          <cell r="BS304" t="str">
            <v>Residential</v>
          </cell>
          <cell r="BT304" t="str">
            <v>Structure Owner</v>
          </cell>
        </row>
        <row r="304">
          <cell r="JR304" t="str">
            <v>Need Displacement</v>
          </cell>
        </row>
        <row r="305">
          <cell r="A305" t="str">
            <v> legal</v>
          </cell>
        </row>
        <row r="305">
          <cell r="C305" t="str">
            <v>VC-054</v>
          </cell>
        </row>
        <row r="305">
          <cell r="E305" t="str">
            <v>149A Tongko St., Malinta, Valenzuela City</v>
          </cell>
        </row>
        <row r="305">
          <cell r="T305" t="str">
            <v>Lipao, Sixtor Barredo</v>
          </cell>
        </row>
        <row r="305">
          <cell r="AS305">
            <v>0.4109</v>
          </cell>
        </row>
        <row r="305">
          <cell r="BS305" t="str">
            <v>Residential</v>
          </cell>
          <cell r="BT305" t="str">
            <v>Structure Owner</v>
          </cell>
        </row>
        <row r="305">
          <cell r="JR305" t="str">
            <v>Can Stay</v>
          </cell>
        </row>
        <row r="305">
          <cell r="VV305" t="str">
            <v> legal</v>
          </cell>
        </row>
        <row r="306">
          <cell r="A306" t="str">
            <v>legal</v>
          </cell>
        </row>
        <row r="306">
          <cell r="C306" t="str">
            <v>VC-055</v>
          </cell>
        </row>
        <row r="306">
          <cell r="E306" t="str">
            <v>149A Tongko St., Malinta, Valenzuela City</v>
          </cell>
        </row>
        <row r="306">
          <cell r="T306" t="str">
            <v>Agulto Jr., Mario Lajan</v>
          </cell>
        </row>
        <row r="306">
          <cell r="AS306">
            <v>1</v>
          </cell>
        </row>
        <row r="306">
          <cell r="BS306" t="str">
            <v>Mixed use</v>
          </cell>
          <cell r="BT306" t="str">
            <v>Structure Owner</v>
          </cell>
        </row>
        <row r="306">
          <cell r="JR306" t="str">
            <v>Need Displacement</v>
          </cell>
        </row>
        <row r="307">
          <cell r="A307" t="str">
            <v>legal</v>
          </cell>
        </row>
        <row r="307">
          <cell r="C307" t="str">
            <v>VC-056</v>
          </cell>
        </row>
        <row r="307">
          <cell r="E307" t="str">
            <v>148A Tongko St., Malinta, Valenzuela City</v>
          </cell>
        </row>
        <row r="307">
          <cell r="T307" t="str">
            <v>Parungao, Renato Sulit</v>
          </cell>
        </row>
        <row r="307">
          <cell r="AS307">
            <v>0.1146</v>
          </cell>
        </row>
        <row r="307">
          <cell r="BS307" t="str">
            <v>Residential</v>
          </cell>
          <cell r="BT307" t="str">
            <v>Structure Owner</v>
          </cell>
        </row>
        <row r="307">
          <cell r="JR307" t="str">
            <v>Can Stay</v>
          </cell>
        </row>
        <row r="307">
          <cell r="KG307">
            <v>1000</v>
          </cell>
        </row>
        <row r="307">
          <cell r="VV307" t="str">
            <v>legal</v>
          </cell>
        </row>
        <row r="308">
          <cell r="A308" t="str">
            <v>legal 307</v>
          </cell>
        </row>
        <row r="308">
          <cell r="C308" t="str">
            <v>VC-056</v>
          </cell>
        </row>
        <row r="308">
          <cell r="E308" t="str">
            <v>148A Tongko St., Malinta, Valenzuela City</v>
          </cell>
        </row>
        <row r="308">
          <cell r="BS308" t="str">
            <v>Residential</v>
          </cell>
          <cell r="BT308" t="str">
            <v>Sharer</v>
          </cell>
        </row>
        <row r="308">
          <cell r="JR308" t="str">
            <v>Can Stay</v>
          </cell>
        </row>
        <row r="308">
          <cell r="VV308" t="str">
            <v>legal 307</v>
          </cell>
        </row>
        <row r="309">
          <cell r="A309" t="str">
            <v>legal-r 307</v>
          </cell>
        </row>
        <row r="309">
          <cell r="C309" t="str">
            <v>VC-056</v>
          </cell>
        </row>
        <row r="309">
          <cell r="E309" t="str">
            <v>148A Tongko St., Malinta, Valenzuela City</v>
          </cell>
        </row>
        <row r="309">
          <cell r="T309" t="str">
            <v>Dula, Joner Pagaduan</v>
          </cell>
        </row>
        <row r="309">
          <cell r="BS309" t="str">
            <v>Residential</v>
          </cell>
          <cell r="BT309" t="str">
            <v>Structure Renter</v>
          </cell>
        </row>
        <row r="309">
          <cell r="JP309">
            <v>300</v>
          </cell>
        </row>
        <row r="309">
          <cell r="JR309" t="str">
            <v>Can Stay</v>
          </cell>
        </row>
        <row r="309">
          <cell r="VV309" t="str">
            <v>legal-r 307</v>
          </cell>
        </row>
        <row r="310">
          <cell r="A310" t="str">
            <v>legal</v>
          </cell>
        </row>
        <row r="310">
          <cell r="C310" t="str">
            <v>VC-057</v>
          </cell>
        </row>
        <row r="310">
          <cell r="E310" t="str">
            <v>181 A. Caco St., Malinta, Valenzuela City</v>
          </cell>
        </row>
        <row r="310">
          <cell r="T310" t="str">
            <v>Caco, Nenita H.</v>
          </cell>
        </row>
        <row r="310">
          <cell r="AS310">
            <v>0.4</v>
          </cell>
        </row>
        <row r="310">
          <cell r="BS310" t="str">
            <v>Mixed use</v>
          </cell>
          <cell r="BT310" t="str">
            <v>Structure Owner</v>
          </cell>
        </row>
        <row r="310">
          <cell r="KG310">
            <v>3000</v>
          </cell>
        </row>
        <row r="310">
          <cell r="VV310" t="str">
            <v>legal</v>
          </cell>
        </row>
        <row r="311">
          <cell r="A311" t="str">
            <v>legal 310</v>
          </cell>
        </row>
        <row r="311">
          <cell r="C311" t="str">
            <v>VC-057</v>
          </cell>
        </row>
        <row r="311">
          <cell r="E311" t="str">
            <v>181 A. Caco St., Malinta, Valenzuela City</v>
          </cell>
        </row>
        <row r="311">
          <cell r="T311" t="str">
            <v>Cunanan, Leonides Gonzales</v>
          </cell>
        </row>
        <row r="311">
          <cell r="BS311" t="str">
            <v>Mixed use</v>
          </cell>
          <cell r="BT311" t="str">
            <v>Commercial Tenant</v>
          </cell>
        </row>
        <row r="311">
          <cell r="JP311">
            <v>1200</v>
          </cell>
        </row>
        <row r="311">
          <cell r="VV311" t="str">
            <v>legal 310</v>
          </cell>
        </row>
        <row r="312">
          <cell r="A312" t="str">
            <v>legal</v>
          </cell>
        </row>
        <row r="312">
          <cell r="C312" t="str">
            <v>VC-057A</v>
          </cell>
        </row>
        <row r="312">
          <cell r="E312" t="str">
            <v>181 A. Caco St., Malinta, Valenzuela City</v>
          </cell>
        </row>
        <row r="312">
          <cell r="AS312">
            <v>0.45</v>
          </cell>
        </row>
        <row r="312">
          <cell r="BS312" t="str">
            <v>Institutional</v>
          </cell>
          <cell r="BT312" t="str">
            <v>Land Owner</v>
          </cell>
        </row>
        <row r="312">
          <cell r="VV312" t="str">
            <v>legal</v>
          </cell>
        </row>
        <row r="313">
          <cell r="A313" t="str">
            <v> legal</v>
          </cell>
        </row>
        <row r="313">
          <cell r="C313" t="str">
            <v>VC-057A</v>
          </cell>
        </row>
        <row r="313">
          <cell r="E313" t="str">
            <v>181 A. Caco St., Malinta, Valenzuela City</v>
          </cell>
        </row>
        <row r="313">
          <cell r="AS313">
            <v>0.3146</v>
          </cell>
        </row>
        <row r="313">
          <cell r="BS313" t="str">
            <v>Institutional</v>
          </cell>
          <cell r="BT313" t="str">
            <v>Structure Owner</v>
          </cell>
        </row>
        <row r="313">
          <cell r="VV313" t="str">
            <v> legal</v>
          </cell>
        </row>
        <row r="314">
          <cell r="A314" t="str">
            <v>legal</v>
          </cell>
        </row>
        <row r="314">
          <cell r="C314" t="str">
            <v>VC-058</v>
          </cell>
        </row>
        <row r="314">
          <cell r="E314" t="str">
            <v>175 A. Caco St., Malinta, Valenzuela City</v>
          </cell>
        </row>
        <row r="314">
          <cell r="T314" t="str">
            <v>Pacheco, Bendicto Maniego</v>
          </cell>
        </row>
        <row r="314">
          <cell r="AS314">
            <v>0.4213</v>
          </cell>
        </row>
        <row r="314">
          <cell r="BS314" t="str">
            <v>Residential</v>
          </cell>
          <cell r="BT314" t="str">
            <v>Structure Owner</v>
          </cell>
        </row>
        <row r="314">
          <cell r="JR314" t="str">
            <v>Can Stay</v>
          </cell>
        </row>
        <row r="314">
          <cell r="VV314" t="str">
            <v>legal</v>
          </cell>
        </row>
        <row r="315">
          <cell r="A315" t="str">
            <v>legal 314</v>
          </cell>
        </row>
        <row r="315">
          <cell r="C315" t="str">
            <v>VC-058</v>
          </cell>
        </row>
        <row r="315">
          <cell r="E315" t="str">
            <v>175 A. Caco St., Malinta, Valenzuela City</v>
          </cell>
        </row>
        <row r="315">
          <cell r="BS315" t="str">
            <v>Residential</v>
          </cell>
          <cell r="BT315" t="str">
            <v>Sharer</v>
          </cell>
        </row>
        <row r="315">
          <cell r="VV315" t="str">
            <v>legal 314</v>
          </cell>
        </row>
        <row r="316">
          <cell r="A316" t="str">
            <v>legal</v>
          </cell>
        </row>
        <row r="316">
          <cell r="C316" t="str">
            <v>VC-059</v>
          </cell>
        </row>
        <row r="316">
          <cell r="E316" t="str">
            <v>174 A. Caco St., Malinta, Valenzuela City</v>
          </cell>
        </row>
        <row r="316">
          <cell r="AS316">
            <v>0.4111</v>
          </cell>
        </row>
        <row r="316">
          <cell r="BS316" t="str">
            <v>Residential</v>
          </cell>
          <cell r="BT316" t="str">
            <v>Structure Owner</v>
          </cell>
        </row>
        <row r="316">
          <cell r="JR316" t="str">
            <v>Need Displacement</v>
          </cell>
        </row>
        <row r="316">
          <cell r="VV316" t="str">
            <v>legal</v>
          </cell>
        </row>
        <row r="317">
          <cell r="A317" t="str">
            <v>legal-r 317</v>
          </cell>
        </row>
        <row r="317">
          <cell r="C317" t="str">
            <v>VC-059</v>
          </cell>
        </row>
        <row r="317">
          <cell r="E317" t="str">
            <v>174 A. Caco St., Malinta, Valenzuela City</v>
          </cell>
        </row>
        <row r="317">
          <cell r="T317" t="str">
            <v>Calara, Eleazar Santuyo</v>
          </cell>
        </row>
        <row r="317">
          <cell r="BS317" t="str">
            <v>Residential</v>
          </cell>
          <cell r="BT317" t="str">
            <v>Structure Renter</v>
          </cell>
        </row>
        <row r="317">
          <cell r="JP317">
            <v>700</v>
          </cell>
        </row>
        <row r="317">
          <cell r="JR317" t="str">
            <v>Can Stay</v>
          </cell>
        </row>
        <row r="317">
          <cell r="VV317" t="str">
            <v>legal-r 317</v>
          </cell>
        </row>
        <row r="318">
          <cell r="A318" t="str">
            <v>isf</v>
          </cell>
        </row>
        <row r="318">
          <cell r="C318" t="str">
            <v>VC-060</v>
          </cell>
        </row>
        <row r="318">
          <cell r="E318" t="str">
            <v>847 A. De Castro St., Malinta Valenzuela City</v>
          </cell>
        </row>
        <row r="318">
          <cell r="T318" t="str">
            <v>Abala, Celestino C.</v>
          </cell>
        </row>
        <row r="318">
          <cell r="BS318" t="str">
            <v>Residential</v>
          </cell>
          <cell r="BT318" t="str">
            <v>Structure Owner</v>
          </cell>
        </row>
        <row r="318">
          <cell r="JP318">
            <v>200</v>
          </cell>
        </row>
        <row r="318">
          <cell r="JR318" t="str">
            <v>Need Displacement</v>
          </cell>
        </row>
        <row r="318">
          <cell r="KI318" t="str">
            <v>Relocation</v>
          </cell>
          <cell r="KJ318" t="str">
            <v>In City</v>
          </cell>
        </row>
        <row r="318">
          <cell r="KL318" t="str">
            <v>Disiplina Village (Brgy Bignay, Valenzuela City)</v>
          </cell>
        </row>
        <row r="318">
          <cell r="KQ318" t="str">
            <v>x</v>
          </cell>
          <cell r="KR318" t="str">
            <v>x</v>
          </cell>
        </row>
        <row r="318">
          <cell r="KT318" t="str">
            <v>x</v>
          </cell>
          <cell r="KU318" t="str">
            <v>x</v>
          </cell>
        </row>
        <row r="318">
          <cell r="KX318" t="str">
            <v>Y</v>
          </cell>
        </row>
        <row r="318">
          <cell r="KZ318" t="str">
            <v>x</v>
          </cell>
        </row>
        <row r="318">
          <cell r="LB318" t="str">
            <v>x</v>
          </cell>
          <cell r="LC318" t="str">
            <v>x</v>
          </cell>
          <cell r="LD318" t="str">
            <v>x</v>
          </cell>
          <cell r="LE318" t="str">
            <v>x</v>
          </cell>
          <cell r="LF318" t="str">
            <v>x</v>
          </cell>
        </row>
        <row r="319">
          <cell r="A319" t="str">
            <v>isf</v>
          </cell>
        </row>
        <row r="319">
          <cell r="C319" t="str">
            <v>VC-061</v>
          </cell>
        </row>
        <row r="319">
          <cell r="E319" t="str">
            <v>847 A. De Castro St., Malinta Valenzuela City</v>
          </cell>
        </row>
        <row r="319">
          <cell r="T319" t="str">
            <v>Aspiras, Gerry Reyes</v>
          </cell>
        </row>
        <row r="319">
          <cell r="BS319" t="str">
            <v>Residential</v>
          </cell>
          <cell r="BT319" t="str">
            <v>Structure Owner</v>
          </cell>
        </row>
        <row r="319">
          <cell r="JR319" t="str">
            <v>Need Displacement</v>
          </cell>
        </row>
        <row r="319">
          <cell r="KI319" t="str">
            <v>Relocation</v>
          </cell>
        </row>
        <row r="319">
          <cell r="KL319" t="str">
            <v>Disiplina Village (Brgy Bignay, Valenzuela City)</v>
          </cell>
        </row>
        <row r="319">
          <cell r="KR319" t="str">
            <v>x</v>
          </cell>
        </row>
        <row r="319">
          <cell r="LA319" t="str">
            <v>x</v>
          </cell>
        </row>
        <row r="319">
          <cell r="LC319" t="str">
            <v>x</v>
          </cell>
          <cell r="LD319" t="str">
            <v>x</v>
          </cell>
        </row>
        <row r="320">
          <cell r="A320" t="str">
            <v>isf</v>
          </cell>
        </row>
        <row r="320">
          <cell r="C320" t="str">
            <v>VC-062</v>
          </cell>
        </row>
        <row r="320">
          <cell r="E320" t="str">
            <v>847 A. De Castro St., Malinta Valenzuela City</v>
          </cell>
        </row>
        <row r="320">
          <cell r="T320" t="str">
            <v>Eugenio, Gilda</v>
          </cell>
        </row>
        <row r="320">
          <cell r="BS320" t="str">
            <v>Residential</v>
          </cell>
          <cell r="BT320" t="str">
            <v>Structure Owner</v>
          </cell>
        </row>
        <row r="320">
          <cell r="JR320" t="str">
            <v>Need Displacement</v>
          </cell>
        </row>
        <row r="320">
          <cell r="KI320" t="str">
            <v>Relocation</v>
          </cell>
        </row>
        <row r="320">
          <cell r="KL320" t="str">
            <v>Disiplina Village (Brgy Bignay, Valenzuela City)</v>
          </cell>
        </row>
        <row r="320">
          <cell r="KQ320" t="str">
            <v>x</v>
          </cell>
        </row>
        <row r="320">
          <cell r="KX320" t="str">
            <v>Y</v>
          </cell>
        </row>
        <row r="320">
          <cell r="KZ320" t="str">
            <v>x</v>
          </cell>
        </row>
        <row r="320">
          <cell r="LB320" t="str">
            <v>x</v>
          </cell>
        </row>
        <row r="320">
          <cell r="LD320" t="str">
            <v>x</v>
          </cell>
        </row>
        <row r="321">
          <cell r="A321" t="str">
            <v>legal</v>
          </cell>
        </row>
        <row r="321">
          <cell r="C321" t="str">
            <v>VC-063</v>
          </cell>
        </row>
        <row r="321">
          <cell r="E321" t="str">
            <v>177 A. Caco St., Malinta, Valenzuela City</v>
          </cell>
        </row>
        <row r="321">
          <cell r="AS321">
            <v>0.8333</v>
          </cell>
        </row>
        <row r="321">
          <cell r="BS321" t="str">
            <v>Residential</v>
          </cell>
          <cell r="BT321" t="str">
            <v>Structure Owner</v>
          </cell>
        </row>
        <row r="321">
          <cell r="VV321" t="str">
            <v>legal</v>
          </cell>
        </row>
        <row r="322">
          <cell r="A322" t="str">
            <v>legal</v>
          </cell>
        </row>
        <row r="322">
          <cell r="C322" t="str">
            <v>VC-064</v>
          </cell>
        </row>
        <row r="322">
          <cell r="E322" t="str">
            <v>228 A. Santos St. Malinta Velenzuela City</v>
          </cell>
        </row>
        <row r="322">
          <cell r="T322" t="str">
            <v>Gugulan, Cynthia D.</v>
          </cell>
        </row>
        <row r="322">
          <cell r="AS322">
            <v>0.454</v>
          </cell>
        </row>
        <row r="322">
          <cell r="BS322" t="str">
            <v>Residential</v>
          </cell>
          <cell r="BT322" t="str">
            <v>Structure Owner</v>
          </cell>
        </row>
        <row r="322">
          <cell r="JR322" t="str">
            <v>Need Displacement</v>
          </cell>
        </row>
        <row r="322">
          <cell r="KG322">
            <v>2500</v>
          </cell>
        </row>
        <row r="322">
          <cell r="VV322" t="str">
            <v>legal</v>
          </cell>
        </row>
        <row r="323">
          <cell r="A323" t="str">
            <v>legal-r 323</v>
          </cell>
        </row>
        <row r="323">
          <cell r="C323" t="str">
            <v>VC-064</v>
          </cell>
        </row>
        <row r="323">
          <cell r="E323" t="str">
            <v>228 A. Santos St. Malinta Velenzuela City</v>
          </cell>
        </row>
        <row r="323">
          <cell r="T323" t="str">
            <v>David, Estor Samson</v>
          </cell>
        </row>
        <row r="323">
          <cell r="BS323" t="str">
            <v>Residential</v>
          </cell>
          <cell r="BT323" t="str">
            <v>Structure Renter</v>
          </cell>
        </row>
        <row r="323">
          <cell r="JP323">
            <v>500</v>
          </cell>
        </row>
        <row r="323">
          <cell r="JR323" t="str">
            <v>Need Displacement</v>
          </cell>
        </row>
        <row r="323">
          <cell r="VV323" t="str">
            <v>legal-r 323</v>
          </cell>
        </row>
        <row r="324">
          <cell r="A324" t="str">
            <v>legal</v>
          </cell>
        </row>
        <row r="324">
          <cell r="C324" t="str">
            <v>VC-065</v>
          </cell>
        </row>
        <row r="324">
          <cell r="E324" t="str">
            <v>229 A. Santos St. Malinta Velenzuela City</v>
          </cell>
        </row>
        <row r="324">
          <cell r="T324" t="str">
            <v>Nucum, Jose Rivera</v>
          </cell>
        </row>
        <row r="324">
          <cell r="AS324">
            <v>0.1786</v>
          </cell>
        </row>
        <row r="324">
          <cell r="BS324" t="str">
            <v>Residential</v>
          </cell>
          <cell r="BT324" t="str">
            <v>Structure Owner</v>
          </cell>
        </row>
        <row r="324">
          <cell r="JR324" t="str">
            <v>Can Stay</v>
          </cell>
        </row>
        <row r="324">
          <cell r="VV324" t="str">
            <v>legal</v>
          </cell>
        </row>
        <row r="325">
          <cell r="A325" t="str">
            <v>legal 324</v>
          </cell>
        </row>
        <row r="325">
          <cell r="C325" t="str">
            <v>VC-065</v>
          </cell>
        </row>
        <row r="325">
          <cell r="E325" t="str">
            <v>229 A. Santos St. Malinta Velenzuela City</v>
          </cell>
        </row>
        <row r="325">
          <cell r="T325" t="str">
            <v>Verdon, Conchita David</v>
          </cell>
        </row>
        <row r="325">
          <cell r="BS325" t="str">
            <v>Residential</v>
          </cell>
          <cell r="BT325" t="str">
            <v>Co-owner</v>
          </cell>
        </row>
        <row r="325">
          <cell r="JP325">
            <v>1200</v>
          </cell>
        </row>
        <row r="325">
          <cell r="JR325" t="str">
            <v>Can Stay</v>
          </cell>
        </row>
        <row r="325">
          <cell r="VV325" t="str">
            <v>legal 324</v>
          </cell>
        </row>
        <row r="326">
          <cell r="A326" t="str">
            <v>legal 324</v>
          </cell>
        </row>
        <row r="326">
          <cell r="C326" t="str">
            <v>VC-065</v>
          </cell>
        </row>
        <row r="326">
          <cell r="E326" t="str">
            <v>229 A. Santos St. Malinta Velenzuela City</v>
          </cell>
        </row>
        <row r="326">
          <cell r="T326" t="str">
            <v>Verdon, Bella Roque</v>
          </cell>
        </row>
        <row r="326">
          <cell r="BS326" t="str">
            <v>Residential</v>
          </cell>
          <cell r="BT326" t="str">
            <v>Co-owner</v>
          </cell>
        </row>
        <row r="326">
          <cell r="JP326">
            <v>1300</v>
          </cell>
        </row>
        <row r="326">
          <cell r="JR326" t="str">
            <v>Can Stay</v>
          </cell>
        </row>
        <row r="326">
          <cell r="VV326" t="str">
            <v>legal 324</v>
          </cell>
        </row>
        <row r="327">
          <cell r="A327" t="str">
            <v>legal 324</v>
          </cell>
        </row>
        <row r="327">
          <cell r="C327" t="str">
            <v>VC-065</v>
          </cell>
        </row>
        <row r="327">
          <cell r="E327" t="str">
            <v>229 A. Santos St. Malinta Velenzuela City</v>
          </cell>
        </row>
        <row r="327">
          <cell r="T327" t="str">
            <v>Edith Verdon Miranda</v>
          </cell>
        </row>
        <row r="327">
          <cell r="BS327" t="str">
            <v>Residential</v>
          </cell>
          <cell r="BT327" t="str">
            <v>Co-owner</v>
          </cell>
        </row>
        <row r="327">
          <cell r="JP327">
            <v>200</v>
          </cell>
        </row>
        <row r="327">
          <cell r="JR327" t="str">
            <v>Can Stay</v>
          </cell>
        </row>
        <row r="327">
          <cell r="VV327" t="str">
            <v>legal 324</v>
          </cell>
        </row>
        <row r="328">
          <cell r="A328" t="str">
            <v>legal</v>
          </cell>
        </row>
        <row r="328">
          <cell r="C328" t="str">
            <v>VC-066</v>
          </cell>
        </row>
        <row r="328">
          <cell r="E328" t="str">
            <v>A. Santos St. Malinta Velenzuela City</v>
          </cell>
        </row>
        <row r="328">
          <cell r="AS328">
            <v>0.163</v>
          </cell>
        </row>
        <row r="328">
          <cell r="BS328" t="str">
            <v>Residential</v>
          </cell>
          <cell r="BT328" t="str">
            <v>Structure Owner</v>
          </cell>
        </row>
        <row r="328">
          <cell r="VV328" t="str">
            <v>legal</v>
          </cell>
        </row>
        <row r="329">
          <cell r="A329" t="str">
            <v>legal-r 328</v>
          </cell>
        </row>
        <row r="329">
          <cell r="C329" t="str">
            <v>VC-066</v>
          </cell>
        </row>
        <row r="329">
          <cell r="E329" t="str">
            <v>A. Santos St. Malinta Velenzuela City</v>
          </cell>
        </row>
        <row r="329">
          <cell r="T329" t="str">
            <v>Asaytono, Andres tampos</v>
          </cell>
        </row>
        <row r="329">
          <cell r="BS329" t="str">
            <v>Residential</v>
          </cell>
          <cell r="BT329" t="str">
            <v>Structure Renter</v>
          </cell>
        </row>
        <row r="329">
          <cell r="JP329">
            <v>200</v>
          </cell>
        </row>
        <row r="329">
          <cell r="JR329" t="str">
            <v>Need Displacement</v>
          </cell>
        </row>
        <row r="329">
          <cell r="VV329" t="str">
            <v>legal-r 328</v>
          </cell>
        </row>
        <row r="330">
          <cell r="A330" t="str">
            <v>legal</v>
          </cell>
        </row>
        <row r="330">
          <cell r="C330" t="str">
            <v>VC-067</v>
          </cell>
        </row>
        <row r="330">
          <cell r="E330" t="str">
            <v>232 A. Santos St. Malinta Velenzuela City</v>
          </cell>
        </row>
        <row r="330">
          <cell r="AS330">
            <v>0.24096</v>
          </cell>
        </row>
        <row r="330">
          <cell r="BS330" t="str">
            <v>Residential</v>
          </cell>
          <cell r="BT330" t="str">
            <v>Structure Owner</v>
          </cell>
        </row>
        <row r="330">
          <cell r="VV330" t="str">
            <v>legal</v>
          </cell>
        </row>
        <row r="331">
          <cell r="A331" t="str">
            <v>legal-r-330</v>
          </cell>
        </row>
        <row r="331">
          <cell r="C331" t="str">
            <v>VC-067</v>
          </cell>
        </row>
        <row r="331">
          <cell r="E331" t="str">
            <v>232 A. Santos St. Malinta Velenzuela City</v>
          </cell>
        </row>
        <row r="331">
          <cell r="T331" t="str">
            <v>Velasquez, Rosalie Tamsi</v>
          </cell>
        </row>
        <row r="331">
          <cell r="BS331" t="str">
            <v>Residential</v>
          </cell>
          <cell r="BT331" t="str">
            <v>Structure Renter</v>
          </cell>
        </row>
        <row r="331">
          <cell r="JP331">
            <v>300</v>
          </cell>
        </row>
        <row r="331">
          <cell r="JR331" t="str">
            <v>Can Stay</v>
          </cell>
        </row>
        <row r="331">
          <cell r="VV331" t="str">
            <v>legal-r-330</v>
          </cell>
        </row>
        <row r="332">
          <cell r="A332" t="str">
            <v>legal</v>
          </cell>
        </row>
        <row r="332">
          <cell r="C332" t="str">
            <v>VC-068</v>
          </cell>
        </row>
        <row r="332">
          <cell r="E332" t="str">
            <v>233 A. Santos St. Malinta Velenzuela City</v>
          </cell>
        </row>
        <row r="332">
          <cell r="T332" t="str">
            <v>Ramirez, Rodolfo</v>
          </cell>
        </row>
        <row r="332">
          <cell r="AS332">
            <v>0.381679389312977</v>
          </cell>
        </row>
        <row r="332">
          <cell r="BS332" t="str">
            <v>Residential</v>
          </cell>
          <cell r="BT332" t="str">
            <v>Sharer</v>
          </cell>
        </row>
        <row r="332">
          <cell r="JR332" t="str">
            <v>Can Stay</v>
          </cell>
        </row>
        <row r="332">
          <cell r="VV332" t="str">
            <v>legal</v>
          </cell>
        </row>
        <row r="333">
          <cell r="A333" t="str">
            <v> legal</v>
          </cell>
        </row>
        <row r="333">
          <cell r="C333" t="str">
            <v>VC-068</v>
          </cell>
        </row>
        <row r="333">
          <cell r="E333" t="str">
            <v>233 A. Santos St. Malinta Velenzuela City</v>
          </cell>
        </row>
        <row r="333">
          <cell r="T333" t="str">
            <v>Matsushima, Ma. Terresa Ramirez</v>
          </cell>
        </row>
        <row r="333">
          <cell r="AS333">
            <v>0.24</v>
          </cell>
        </row>
        <row r="333">
          <cell r="BS333" t="str">
            <v>Residential</v>
          </cell>
          <cell r="BT333" t="str">
            <v>Structure Owner</v>
          </cell>
        </row>
        <row r="333">
          <cell r="JR333" t="str">
            <v>Can Stay</v>
          </cell>
        </row>
        <row r="333">
          <cell r="VV333" t="str">
            <v> legal</v>
          </cell>
        </row>
        <row r="334">
          <cell r="A334" t="str">
            <v>legal 332</v>
          </cell>
        </row>
        <row r="334">
          <cell r="C334" t="str">
            <v>VC-068</v>
          </cell>
        </row>
        <row r="334">
          <cell r="E334" t="str">
            <v>233 A. Santos St. Malinta Velenzuela City</v>
          </cell>
        </row>
        <row r="334">
          <cell r="T334" t="str">
            <v>Matsushima, Jun Ramirez</v>
          </cell>
        </row>
        <row r="334">
          <cell r="BS334" t="str">
            <v>Residential</v>
          </cell>
          <cell r="BT334" t="str">
            <v>Sharer</v>
          </cell>
        </row>
        <row r="334">
          <cell r="JR334" t="str">
            <v>Can Stay</v>
          </cell>
        </row>
        <row r="334">
          <cell r="VV334" t="str">
            <v>legal 332</v>
          </cell>
        </row>
        <row r="335">
          <cell r="A335" t="str">
            <v>legal</v>
          </cell>
        </row>
        <row r="335">
          <cell r="C335" t="str">
            <v>VC-069</v>
          </cell>
        </row>
        <row r="335">
          <cell r="E335" t="str">
            <v>233 A. Santos St. Malinta Velenzuela City</v>
          </cell>
        </row>
        <row r="335">
          <cell r="T335" t="str">
            <v>Yamson, Conrado Domingo</v>
          </cell>
        </row>
        <row r="335">
          <cell r="AS335">
            <v>0.3462</v>
          </cell>
        </row>
        <row r="335">
          <cell r="BS335" t="str">
            <v>Residential</v>
          </cell>
          <cell r="BT335" t="str">
            <v>Structure Owner</v>
          </cell>
        </row>
        <row r="335">
          <cell r="JR335" t="str">
            <v>Can Stay</v>
          </cell>
        </row>
        <row r="335">
          <cell r="VV335" t="str">
            <v>legal</v>
          </cell>
        </row>
        <row r="336">
          <cell r="A336" t="str">
            <v>legal</v>
          </cell>
        </row>
        <row r="336">
          <cell r="C336" t="str">
            <v>VC-070</v>
          </cell>
        </row>
        <row r="336">
          <cell r="E336" t="str">
            <v>236 A. Santos St. Malinta Velenzuela City</v>
          </cell>
        </row>
        <row r="336">
          <cell r="T336" t="str">
            <v>(CANNOT BE LOCATED)</v>
          </cell>
        </row>
        <row r="336">
          <cell r="AS336">
            <v>1</v>
          </cell>
        </row>
        <row r="336">
          <cell r="BS336" t="str">
            <v>Residential</v>
          </cell>
          <cell r="BT336" t="str">
            <v>Structure Owner</v>
          </cell>
        </row>
        <row r="336">
          <cell r="VV336" t="str">
            <v>legal</v>
          </cell>
        </row>
        <row r="337">
          <cell r="A337" t="str">
            <v>legal</v>
          </cell>
        </row>
        <row r="337">
          <cell r="C337" t="str">
            <v>VC-071</v>
          </cell>
        </row>
        <row r="337">
          <cell r="E337" t="str">
            <v>852 A. De Castro St., Malinta Valenzuela City</v>
          </cell>
        </row>
        <row r="337">
          <cell r="AS337">
            <v>0.1136</v>
          </cell>
        </row>
        <row r="337">
          <cell r="BS337" t="str">
            <v>Mixed use</v>
          </cell>
          <cell r="BT337" t="str">
            <v>Structure Owner</v>
          </cell>
        </row>
        <row r="337">
          <cell r="VV337" t="str">
            <v>legal</v>
          </cell>
        </row>
        <row r="338">
          <cell r="A338" t="str">
            <v> legal</v>
          </cell>
        </row>
        <row r="338">
          <cell r="C338" t="str">
            <v>VC-071</v>
          </cell>
        </row>
        <row r="338">
          <cell r="E338" t="str">
            <v>854 A. De Castro St., Malinta Valenzuela City</v>
          </cell>
        </row>
        <row r="338">
          <cell r="AS338">
            <v>0.5</v>
          </cell>
        </row>
        <row r="338">
          <cell r="BS338" t="str">
            <v>Residential</v>
          </cell>
          <cell r="BT338" t="str">
            <v>Land Owner</v>
          </cell>
        </row>
        <row r="338">
          <cell r="VV338" t="str">
            <v> legal</v>
          </cell>
        </row>
        <row r="339">
          <cell r="A339" t="str">
            <v>legal</v>
          </cell>
        </row>
        <row r="339">
          <cell r="C339" t="str">
            <v>VC-072</v>
          </cell>
        </row>
        <row r="339">
          <cell r="E339" t="str">
            <v>854 A. De Castro St., Malinta Valenzuela City</v>
          </cell>
        </row>
        <row r="339">
          <cell r="T339" t="str">
            <v>Noveda, Benjamin</v>
          </cell>
        </row>
        <row r="339">
          <cell r="BS339" t="str">
            <v>Residential</v>
          </cell>
          <cell r="BT339" t="str">
            <v>Structure Owner</v>
          </cell>
        </row>
        <row r="339">
          <cell r="VV339" t="str">
            <v>legal</v>
          </cell>
        </row>
        <row r="340">
          <cell r="A340" t="str">
            <v>legal</v>
          </cell>
        </row>
        <row r="340">
          <cell r="C340" t="str">
            <v>VC-073</v>
          </cell>
        </row>
        <row r="340">
          <cell r="E340" t="str">
            <v>856 A. De Castro St., Malinta Valenzuela City</v>
          </cell>
        </row>
        <row r="340">
          <cell r="T340" t="str">
            <v>Versosa, Arturo S.</v>
          </cell>
        </row>
        <row r="340">
          <cell r="AS340">
            <v>0.096</v>
          </cell>
        </row>
        <row r="340">
          <cell r="BS340" t="str">
            <v>Residential</v>
          </cell>
          <cell r="BT340" t="str">
            <v>Structure Owner</v>
          </cell>
        </row>
        <row r="340">
          <cell r="VV340" t="str">
            <v>legal</v>
          </cell>
        </row>
        <row r="341">
          <cell r="A341" t="str">
            <v>legal 340</v>
          </cell>
        </row>
        <row r="341">
          <cell r="C341" t="str">
            <v>VC-073</v>
          </cell>
        </row>
        <row r="341">
          <cell r="E341" t="str">
            <v>856 A. De Castro St., Malinta Valenzuela City</v>
          </cell>
        </row>
        <row r="341">
          <cell r="BS341" t="str">
            <v>Residential</v>
          </cell>
          <cell r="BT341" t="str">
            <v>Structure Owner</v>
          </cell>
        </row>
        <row r="341">
          <cell r="VV341" t="str">
            <v>legal 340</v>
          </cell>
        </row>
        <row r="342">
          <cell r="A342" t="str">
            <v> legal</v>
          </cell>
        </row>
        <row r="342">
          <cell r="C342" t="str">
            <v>VC-074</v>
          </cell>
        </row>
        <row r="342">
          <cell r="E342" t="str">
            <v>237 A. Santos St. Malinta Velenzuela City</v>
          </cell>
        </row>
        <row r="342">
          <cell r="T342" t="str">
            <v>Cayco, Teresita Villagracia</v>
          </cell>
        </row>
        <row r="342">
          <cell r="AS342">
            <v>0.3417</v>
          </cell>
        </row>
        <row r="342">
          <cell r="BS342" t="str">
            <v>Residential</v>
          </cell>
          <cell r="BT342" t="str">
            <v>Structure Owner</v>
          </cell>
        </row>
        <row r="342">
          <cell r="JR342" t="str">
            <v>Can Stay</v>
          </cell>
        </row>
        <row r="342">
          <cell r="VV342" t="str">
            <v> legal</v>
          </cell>
        </row>
        <row r="343">
          <cell r="A343" t="str">
            <v>legal</v>
          </cell>
        </row>
        <row r="343">
          <cell r="C343" t="str">
            <v>VC-075</v>
          </cell>
        </row>
        <row r="343">
          <cell r="E343" t="str">
            <v>237 A. Santos St. Malinta Velenzuela City</v>
          </cell>
        </row>
        <row r="343">
          <cell r="AS343">
            <v>0.5714</v>
          </cell>
        </row>
        <row r="343">
          <cell r="BS343" t="str">
            <v>Residential</v>
          </cell>
          <cell r="BT343" t="str">
            <v>Structure Owner</v>
          </cell>
        </row>
        <row r="343">
          <cell r="KG343">
            <v>1500</v>
          </cell>
        </row>
        <row r="343">
          <cell r="VV343" t="str">
            <v>legal</v>
          </cell>
        </row>
        <row r="344">
          <cell r="A344" t="str">
            <v>legal 343</v>
          </cell>
        </row>
        <row r="344">
          <cell r="C344" t="str">
            <v>VC-075</v>
          </cell>
        </row>
        <row r="344">
          <cell r="E344" t="str">
            <v>237 A. Santos St. Malinta Velenzuela City</v>
          </cell>
        </row>
        <row r="344">
          <cell r="T344" t="str">
            <v>Solomon, Reynaldo</v>
          </cell>
        </row>
        <row r="344">
          <cell r="BS344" t="str">
            <v>Residential</v>
          </cell>
          <cell r="BT344" t="str">
            <v>Structure Renter</v>
          </cell>
        </row>
        <row r="344">
          <cell r="JP344">
            <v>0</v>
          </cell>
        </row>
        <row r="344">
          <cell r="JR344" t="str">
            <v>Need Displacement</v>
          </cell>
        </row>
        <row r="344">
          <cell r="VV344" t="str">
            <v>legal 343</v>
          </cell>
        </row>
        <row r="345">
          <cell r="A345" t="str">
            <v>legal</v>
          </cell>
        </row>
        <row r="345">
          <cell r="C345" t="str">
            <v>VC-076</v>
          </cell>
        </row>
        <row r="345">
          <cell r="E345" t="str">
            <v>Dulong Tangke, Malinta Velenzuela City</v>
          </cell>
        </row>
        <row r="345">
          <cell r="T345" t="str">
            <v>(CANNOT BE LOCATED)</v>
          </cell>
        </row>
        <row r="345">
          <cell r="AS345">
            <v>1</v>
          </cell>
        </row>
        <row r="345">
          <cell r="BS345" t="str">
            <v>Industrial</v>
          </cell>
          <cell r="BT345" t="str">
            <v>Structure Owner</v>
          </cell>
        </row>
        <row r="345">
          <cell r="VV345" t="str">
            <v>legal</v>
          </cell>
        </row>
        <row r="346">
          <cell r="A346" t="str">
            <v>legal</v>
          </cell>
        </row>
        <row r="346">
          <cell r="C346" t="str">
            <v>VC-077</v>
          </cell>
        </row>
        <row r="346">
          <cell r="E346" t="str">
            <v>270 Dulong Tangke, Malinta Velenzuela City</v>
          </cell>
        </row>
        <row r="346">
          <cell r="T346" t="str">
            <v>(CANNOT BE LOCATED)</v>
          </cell>
        </row>
        <row r="346">
          <cell r="AS346">
            <v>1</v>
          </cell>
        </row>
        <row r="346">
          <cell r="BS346" t="str">
            <v>Residential</v>
          </cell>
          <cell r="BT346" t="str">
            <v>Structure Owner</v>
          </cell>
        </row>
        <row r="346">
          <cell r="VV346" t="str">
            <v>legal</v>
          </cell>
        </row>
        <row r="347">
          <cell r="A347" t="str">
            <v>legal</v>
          </cell>
        </row>
        <row r="347">
          <cell r="C347" t="str">
            <v>VC-078</v>
          </cell>
        </row>
        <row r="347">
          <cell r="E347" t="str">
            <v>547 Dulong Tangke, Malinta Velenzuela City</v>
          </cell>
        </row>
        <row r="347">
          <cell r="T347" t="str">
            <v>De Leon, Librada</v>
          </cell>
        </row>
        <row r="347">
          <cell r="AS347">
            <v>0.23</v>
          </cell>
        </row>
        <row r="347">
          <cell r="BS347" t="str">
            <v>Residential</v>
          </cell>
          <cell r="BT347" t="str">
            <v>Structure Owner</v>
          </cell>
        </row>
        <row r="347">
          <cell r="JR347" t="str">
            <v>Need Displacement</v>
          </cell>
        </row>
        <row r="347">
          <cell r="KG347">
            <v>2000</v>
          </cell>
        </row>
        <row r="348">
          <cell r="A348" t="str">
            <v>legal-r 347</v>
          </cell>
        </row>
        <row r="348">
          <cell r="C348" t="str">
            <v>VC-078</v>
          </cell>
        </row>
        <row r="348">
          <cell r="E348" t="str">
            <v>547 Dulong Tangke, Malinta Velenzuela City</v>
          </cell>
        </row>
        <row r="348">
          <cell r="T348" t="str">
            <v>Bania, Tomas Ariola Jr</v>
          </cell>
        </row>
        <row r="348">
          <cell r="BS348" t="str">
            <v>Residential</v>
          </cell>
          <cell r="BT348" t="str">
            <v>Structure Renter</v>
          </cell>
        </row>
        <row r="348">
          <cell r="JP348">
            <v>350</v>
          </cell>
        </row>
        <row r="348">
          <cell r="JR348" t="str">
            <v>Need Displacement</v>
          </cell>
        </row>
        <row r="348">
          <cell r="VV348" t="str">
            <v>legal-r 347</v>
          </cell>
        </row>
        <row r="349">
          <cell r="A349" t="str">
            <v>legal 347</v>
          </cell>
        </row>
        <row r="349">
          <cell r="C349" t="str">
            <v>VC-078</v>
          </cell>
        </row>
        <row r="349">
          <cell r="E349" t="str">
            <v>547 Dulong Tangke, Malinta Velenzuela City</v>
          </cell>
        </row>
        <row r="349">
          <cell r="BS349" t="str">
            <v>Residential</v>
          </cell>
          <cell r="BT349" t="str">
            <v>Structure Owner</v>
          </cell>
        </row>
        <row r="349">
          <cell r="VV349" t="str">
            <v>legal 347</v>
          </cell>
        </row>
        <row r="350">
          <cell r="A350" t="str">
            <v>legal</v>
          </cell>
        </row>
        <row r="350">
          <cell r="C350" t="str">
            <v>VC-079</v>
          </cell>
        </row>
        <row r="350">
          <cell r="E350" t="str">
            <v>547 Dulong Tangke, Malinta Velenzuela City</v>
          </cell>
        </row>
        <row r="350">
          <cell r="T350" t="str">
            <v>(Refuse to Interview)</v>
          </cell>
        </row>
        <row r="350">
          <cell r="AS350">
            <v>1</v>
          </cell>
        </row>
        <row r="350">
          <cell r="BS350" t="str">
            <v>Residential</v>
          </cell>
          <cell r="BT350" t="str">
            <v>Structure Owner</v>
          </cell>
        </row>
        <row r="350">
          <cell r="VV350" t="str">
            <v>legal</v>
          </cell>
        </row>
        <row r="351">
          <cell r="A351" t="str">
            <v>legal</v>
          </cell>
        </row>
        <row r="351">
          <cell r="C351" t="str">
            <v>VC-080</v>
          </cell>
        </row>
        <row r="351">
          <cell r="E351" t="str">
            <v>545 Dulong Tangke, Malinta Velenzuela City</v>
          </cell>
        </row>
        <row r="351">
          <cell r="AS351">
            <v>0.04</v>
          </cell>
        </row>
        <row r="351">
          <cell r="BS351" t="str">
            <v>Residential</v>
          </cell>
          <cell r="BT351" t="str">
            <v>Structure Owner</v>
          </cell>
        </row>
        <row r="351">
          <cell r="KG351">
            <v>4300</v>
          </cell>
        </row>
        <row r="351">
          <cell r="VV351" t="str">
            <v>legal</v>
          </cell>
        </row>
        <row r="352">
          <cell r="A352" t="str">
            <v>legal-r 351</v>
          </cell>
        </row>
        <row r="352">
          <cell r="C352" t="str">
            <v>VC-080</v>
          </cell>
        </row>
        <row r="352">
          <cell r="E352" t="str">
            <v>545 Dulong Tangke, Malinta Velenzuela City</v>
          </cell>
        </row>
        <row r="352">
          <cell r="BS352" t="str">
            <v>Residential</v>
          </cell>
          <cell r="BT352" t="str">
            <v>Structure Renter</v>
          </cell>
        </row>
        <row r="352">
          <cell r="JP352">
            <v>250</v>
          </cell>
        </row>
        <row r="352">
          <cell r="JR352" t="str">
            <v>Need Displacement</v>
          </cell>
        </row>
        <row r="352">
          <cell r="VV352" t="str">
            <v>legal-r 351</v>
          </cell>
        </row>
        <row r="353">
          <cell r="A353" t="str">
            <v>legal-r 351</v>
          </cell>
        </row>
        <row r="353">
          <cell r="C353" t="str">
            <v>VC-080</v>
          </cell>
        </row>
        <row r="353">
          <cell r="E353" t="str">
            <v>545 Dulong Tangke, Malinta Velenzuela City</v>
          </cell>
        </row>
        <row r="353">
          <cell r="BS353" t="str">
            <v>Residential</v>
          </cell>
          <cell r="BT353" t="str">
            <v>Structure Renter</v>
          </cell>
        </row>
        <row r="353">
          <cell r="JP353">
            <v>120</v>
          </cell>
        </row>
        <row r="353">
          <cell r="JR353" t="str">
            <v>Need Displacement</v>
          </cell>
        </row>
        <row r="353">
          <cell r="VV353" t="str">
            <v>legal-r 351</v>
          </cell>
        </row>
        <row r="354">
          <cell r="A354" t="str">
            <v>legal</v>
          </cell>
        </row>
        <row r="354">
          <cell r="C354" t="str">
            <v>VC-081</v>
          </cell>
        </row>
        <row r="354">
          <cell r="E354" t="str">
            <v>545 Dulong Tangke, Malinta Velenzuela City</v>
          </cell>
        </row>
        <row r="354">
          <cell r="AS354">
            <v>1</v>
          </cell>
        </row>
        <row r="354">
          <cell r="BS354" t="str">
            <v>Residential</v>
          </cell>
          <cell r="BT354" t="str">
            <v>Structure Owner</v>
          </cell>
        </row>
        <row r="354">
          <cell r="KG354">
            <v>2600</v>
          </cell>
        </row>
        <row r="354">
          <cell r="VV354" t="str">
            <v>legal</v>
          </cell>
        </row>
        <row r="355">
          <cell r="A355" t="str">
            <v>legal 354</v>
          </cell>
        </row>
        <row r="355">
          <cell r="C355" t="str">
            <v>VC-081</v>
          </cell>
        </row>
        <row r="355">
          <cell r="E355" t="str">
            <v>545 Dulong Tangke, Malinta Velenzuela City</v>
          </cell>
        </row>
        <row r="355">
          <cell r="BS355" t="str">
            <v>Residential</v>
          </cell>
          <cell r="BT355" t="str">
            <v>Caretaker</v>
          </cell>
        </row>
        <row r="355">
          <cell r="JP355">
            <v>100</v>
          </cell>
        </row>
        <row r="355">
          <cell r="KG355">
            <v>20900</v>
          </cell>
        </row>
        <row r="355">
          <cell r="VV355" t="str">
            <v>legal 354</v>
          </cell>
        </row>
        <row r="356">
          <cell r="A356" t="str">
            <v>legal-r 354</v>
          </cell>
        </row>
        <row r="356">
          <cell r="C356" t="str">
            <v>VC-081</v>
          </cell>
        </row>
        <row r="356">
          <cell r="E356" t="str">
            <v>545 Dulong Tangke, Malinta Velenzuela City</v>
          </cell>
        </row>
        <row r="356">
          <cell r="T356" t="str">
            <v>Abalos, Zaldy C</v>
          </cell>
        </row>
        <row r="356">
          <cell r="BS356" t="str">
            <v>Residential</v>
          </cell>
          <cell r="BT356" t="str">
            <v>Structure Renter</v>
          </cell>
        </row>
        <row r="356">
          <cell r="JP356">
            <v>500</v>
          </cell>
        </row>
        <row r="356">
          <cell r="JR356" t="str">
            <v>Need Displacement</v>
          </cell>
        </row>
        <row r="356">
          <cell r="VV356" t="str">
            <v>legal-r 354</v>
          </cell>
        </row>
        <row r="357">
          <cell r="A357" t="str">
            <v>legal</v>
          </cell>
        </row>
        <row r="357">
          <cell r="C357" t="str">
            <v>VC-082</v>
          </cell>
        </row>
        <row r="357">
          <cell r="E357" t="str">
            <v>Dulong Tangke, Malinta Velenzuela City</v>
          </cell>
        </row>
        <row r="357">
          <cell r="T357" t="str">
            <v>Baguinang, Anthony Carpio</v>
          </cell>
        </row>
        <row r="357">
          <cell r="AS357">
            <v>1</v>
          </cell>
        </row>
        <row r="357">
          <cell r="BS357" t="str">
            <v>Residential</v>
          </cell>
          <cell r="BT357" t="str">
            <v>Structure Owner</v>
          </cell>
        </row>
        <row r="357">
          <cell r="VV357" t="str">
            <v>legal</v>
          </cell>
        </row>
        <row r="358">
          <cell r="A358" t="str">
            <v>legal</v>
          </cell>
        </row>
        <row r="358">
          <cell r="C358" t="str">
            <v>VC-083</v>
          </cell>
        </row>
        <row r="358">
          <cell r="E358" t="str">
            <v>536 Dulong Tangke St. Malinta Valenzuela City</v>
          </cell>
        </row>
        <row r="358">
          <cell r="AS358">
            <v>0.2083</v>
          </cell>
        </row>
        <row r="358">
          <cell r="BS358" t="str">
            <v>Residential</v>
          </cell>
          <cell r="BT358" t="str">
            <v>Structure Owner</v>
          </cell>
        </row>
        <row r="358">
          <cell r="VV358" t="str">
            <v>legal</v>
          </cell>
        </row>
        <row r="359">
          <cell r="A359" t="str">
            <v>legal-r 358</v>
          </cell>
        </row>
        <row r="359">
          <cell r="C359" t="str">
            <v>VC-083</v>
          </cell>
        </row>
        <row r="359">
          <cell r="E359" t="str">
            <v>536 Dulong Tangke St. Malinta Valenzuela City</v>
          </cell>
        </row>
        <row r="359">
          <cell r="T359" t="str">
            <v>So, Marjorie</v>
          </cell>
        </row>
        <row r="359">
          <cell r="BS359" t="str">
            <v>Residential</v>
          </cell>
          <cell r="BT359" t="str">
            <v>Structure Renter</v>
          </cell>
        </row>
        <row r="359">
          <cell r="VV359" t="str">
            <v>legal-r 358</v>
          </cell>
        </row>
        <row r="360">
          <cell r="A360" t="str">
            <v>legal</v>
          </cell>
        </row>
        <row r="360">
          <cell r="C360" t="str">
            <v>VC-084</v>
          </cell>
        </row>
        <row r="360">
          <cell r="E360" t="str">
            <v>576 Dulong Tangke St. Malinta Valenzuela City</v>
          </cell>
        </row>
        <row r="360">
          <cell r="T360" t="str">
            <v>Manabo, Gerard Ong</v>
          </cell>
        </row>
        <row r="360">
          <cell r="AS360">
            <v>0.117</v>
          </cell>
        </row>
        <row r="360">
          <cell r="BS360" t="str">
            <v>Residential</v>
          </cell>
          <cell r="BT360" t="str">
            <v>Structure Owner</v>
          </cell>
        </row>
        <row r="360">
          <cell r="KG360">
            <v>2000</v>
          </cell>
        </row>
        <row r="360">
          <cell r="VV360" t="str">
            <v>legal</v>
          </cell>
        </row>
        <row r="361">
          <cell r="A361" t="str">
            <v>legal-r 360</v>
          </cell>
        </row>
        <row r="361">
          <cell r="C361" t="str">
            <v>VC-084</v>
          </cell>
        </row>
        <row r="361">
          <cell r="E361" t="str">
            <v>576 Dulong Tangke St. Malinta Valenzuela City</v>
          </cell>
        </row>
        <row r="361">
          <cell r="T361" t="str">
            <v>Patillano, Nathaniel Villa</v>
          </cell>
        </row>
        <row r="361">
          <cell r="BS361" t="str">
            <v>Residential</v>
          </cell>
          <cell r="BT361" t="str">
            <v>Structure Renter</v>
          </cell>
        </row>
        <row r="361">
          <cell r="JP361">
            <v>250</v>
          </cell>
        </row>
        <row r="361">
          <cell r="VV361" t="str">
            <v>legal-r 360</v>
          </cell>
        </row>
        <row r="362">
          <cell r="A362" t="str">
            <v>legal</v>
          </cell>
        </row>
        <row r="362">
          <cell r="C362" t="str">
            <v>VC-085</v>
          </cell>
        </row>
        <row r="362">
          <cell r="E362" t="str">
            <v>576 Dulong Tangke St. Malinta Valenzuela City</v>
          </cell>
        </row>
        <row r="362">
          <cell r="T362" t="str">
            <v>Manabo, Guillermo</v>
          </cell>
        </row>
        <row r="362">
          <cell r="AS362">
            <v>0.77765</v>
          </cell>
        </row>
        <row r="362">
          <cell r="BS362" t="str">
            <v>Mixed use</v>
          </cell>
          <cell r="BT362" t="str">
            <v>Structure Owner</v>
          </cell>
        </row>
        <row r="362">
          <cell r="VV362" t="str">
            <v>legal</v>
          </cell>
        </row>
        <row r="363">
          <cell r="A363" t="str">
            <v>legal-sh 362</v>
          </cell>
        </row>
        <row r="363">
          <cell r="C363" t="str">
            <v>VC-085</v>
          </cell>
        </row>
        <row r="363">
          <cell r="E363" t="str">
            <v>576 Dulong Tangke St. Malinta Valenzuela City</v>
          </cell>
        </row>
        <row r="363">
          <cell r="T363" t="str">
            <v>Manabo, Garry O.</v>
          </cell>
        </row>
        <row r="363">
          <cell r="BS363" t="str">
            <v>Mixed use</v>
          </cell>
          <cell r="BT363" t="str">
            <v>Sharer</v>
          </cell>
        </row>
        <row r="363">
          <cell r="JR363" t="str">
            <v>Need Displacement</v>
          </cell>
        </row>
        <row r="364">
          <cell r="A364" t="str">
            <v>legal</v>
          </cell>
        </row>
        <row r="364">
          <cell r="C364" t="str">
            <v>VC-086</v>
          </cell>
        </row>
        <row r="364">
          <cell r="E364" t="str">
            <v>577 Dulong Tangke St. Malinta Valenzuela City</v>
          </cell>
        </row>
        <row r="364">
          <cell r="T364" t="str">
            <v>Manabo, Aida Buendia</v>
          </cell>
        </row>
        <row r="364">
          <cell r="AS364">
            <v>0.6167</v>
          </cell>
        </row>
        <row r="364">
          <cell r="BS364" t="str">
            <v>Residential</v>
          </cell>
          <cell r="BT364" t="str">
            <v>Structure Owner</v>
          </cell>
        </row>
        <row r="364">
          <cell r="VV364" t="str">
            <v>legal</v>
          </cell>
        </row>
        <row r="365">
          <cell r="A365" t="str">
            <v>legal-sh 364</v>
          </cell>
        </row>
        <row r="365">
          <cell r="C365" t="str">
            <v>VC-086</v>
          </cell>
        </row>
        <row r="365">
          <cell r="E365" t="str">
            <v>577 Dulong Tangke St. Malinta Valenzuela City</v>
          </cell>
        </row>
        <row r="365">
          <cell r="T365" t="str">
            <v>Manabo, Jeffrey</v>
          </cell>
        </row>
        <row r="365">
          <cell r="BS365" t="str">
            <v>Residential</v>
          </cell>
          <cell r="BT365" t="str">
            <v>Sharer</v>
          </cell>
        </row>
        <row r="365">
          <cell r="JP365">
            <v>200</v>
          </cell>
        </row>
        <row r="365">
          <cell r="JR365" t="str">
            <v>Need Displacement</v>
          </cell>
        </row>
        <row r="365">
          <cell r="VV365" t="str">
            <v>legal-sh 364</v>
          </cell>
        </row>
        <row r="366">
          <cell r="A366" t="str">
            <v>legal-r 364</v>
          </cell>
        </row>
        <row r="366">
          <cell r="C366" t="str">
            <v>VC-086</v>
          </cell>
        </row>
        <row r="366">
          <cell r="E366" t="str">
            <v>577 Dulong Tangke St. Malinta Valenzuela City</v>
          </cell>
        </row>
        <row r="366">
          <cell r="T366" t="str">
            <v>Judith</v>
          </cell>
        </row>
        <row r="366">
          <cell r="BS366" t="str">
            <v>Residential</v>
          </cell>
          <cell r="BT366" t="str">
            <v>Structure Renter</v>
          </cell>
        </row>
        <row r="366">
          <cell r="JP366">
            <v>300</v>
          </cell>
        </row>
        <row r="366">
          <cell r="VV366" t="str">
            <v>legal-r 364</v>
          </cell>
        </row>
        <row r="367">
          <cell r="A367" t="str">
            <v>legal</v>
          </cell>
        </row>
        <row r="367">
          <cell r="C367" t="str">
            <v>VC-087</v>
          </cell>
        </row>
        <row r="367">
          <cell r="E367" t="str">
            <v>577 Dulong Tangke St. Malinta Valenzuela City</v>
          </cell>
        </row>
        <row r="367">
          <cell r="T367" t="str">
            <v>Manabo, Aida B.</v>
          </cell>
        </row>
        <row r="367">
          <cell r="AS367">
            <v>0.5849</v>
          </cell>
        </row>
        <row r="367">
          <cell r="BS367" t="str">
            <v>Residential</v>
          </cell>
          <cell r="BT367" t="str">
            <v>Structure Owner</v>
          </cell>
        </row>
        <row r="367">
          <cell r="JR367" t="str">
            <v>Need Displacement</v>
          </cell>
        </row>
        <row r="368">
          <cell r="A368" t="str">
            <v>legal</v>
          </cell>
        </row>
        <row r="368">
          <cell r="C368" t="str">
            <v>VC-088</v>
          </cell>
        </row>
        <row r="368">
          <cell r="E368" t="str">
            <v>579 Dulong Tangke St. Malinta Valenzuela City</v>
          </cell>
        </row>
        <row r="368">
          <cell r="T368" t="str">
            <v>Del Rosario, Rodolfo Dela Cruz</v>
          </cell>
        </row>
        <row r="368">
          <cell r="AS368">
            <v>0.4154</v>
          </cell>
        </row>
        <row r="368">
          <cell r="BS368" t="str">
            <v>Residential</v>
          </cell>
          <cell r="BT368" t="str">
            <v>Structure Owner</v>
          </cell>
        </row>
        <row r="368">
          <cell r="KG368">
            <v>4300</v>
          </cell>
        </row>
        <row r="368">
          <cell r="VV368" t="str">
            <v>legal</v>
          </cell>
        </row>
        <row r="369">
          <cell r="A369" t="str">
            <v>legal-r 368</v>
          </cell>
        </row>
        <row r="369">
          <cell r="C369" t="str">
            <v>VC-088</v>
          </cell>
        </row>
        <row r="369">
          <cell r="E369" t="str">
            <v>579 Dulong Tangke St. Malinta Valenzuela City</v>
          </cell>
        </row>
        <row r="369">
          <cell r="T369" t="str">
            <v>Espora, Robert</v>
          </cell>
        </row>
        <row r="369">
          <cell r="BS369" t="str">
            <v>Residential</v>
          </cell>
          <cell r="BT369" t="str">
            <v>Structure Renter</v>
          </cell>
        </row>
        <row r="369">
          <cell r="JP369">
            <v>300</v>
          </cell>
        </row>
        <row r="369">
          <cell r="JR369" t="str">
            <v>Need Displacement</v>
          </cell>
        </row>
        <row r="369">
          <cell r="VV369" t="str">
            <v>legal-r 368</v>
          </cell>
        </row>
        <row r="370">
          <cell r="A370" t="str">
            <v>legal-r 368</v>
          </cell>
        </row>
        <row r="370">
          <cell r="C370" t="str">
            <v>VC-088</v>
          </cell>
        </row>
        <row r="370">
          <cell r="E370" t="str">
            <v>579 Dulong Tangke St. Malinta Valenzuela City</v>
          </cell>
        </row>
        <row r="370">
          <cell r="T370" t="str">
            <v>Pertez, Luzviminda</v>
          </cell>
        </row>
        <row r="370">
          <cell r="BS370" t="str">
            <v>Residential</v>
          </cell>
          <cell r="BT370" t="str">
            <v>Structure Renter</v>
          </cell>
        </row>
        <row r="370">
          <cell r="JR370" t="str">
            <v>Need Displacement</v>
          </cell>
        </row>
        <row r="370">
          <cell r="VV370" t="str">
            <v>legal-r 368</v>
          </cell>
        </row>
        <row r="371">
          <cell r="A371" t="str">
            <v>legal-r 368</v>
          </cell>
        </row>
        <row r="371">
          <cell r="C371" t="str">
            <v>VC-088</v>
          </cell>
        </row>
        <row r="371">
          <cell r="E371" t="str">
            <v>579 Dulong Tangke St. Malinta Valenzuela City</v>
          </cell>
        </row>
        <row r="371">
          <cell r="BS371" t="str">
            <v>Residential</v>
          </cell>
          <cell r="BT371" t="str">
            <v>Structure Renter</v>
          </cell>
        </row>
        <row r="371">
          <cell r="JP371">
            <v>600</v>
          </cell>
        </row>
        <row r="371">
          <cell r="JR371" t="str">
            <v>Can Stay</v>
          </cell>
        </row>
        <row r="371">
          <cell r="VV371" t="str">
            <v>legal-r 368</v>
          </cell>
        </row>
        <row r="372">
          <cell r="A372" t="str">
            <v>legal</v>
          </cell>
        </row>
        <row r="372">
          <cell r="C372" t="str">
            <v>VC-089</v>
          </cell>
        </row>
        <row r="372">
          <cell r="E372" t="str">
            <v>576 Dulong Tangke St. Malinta Valenzuela City</v>
          </cell>
        </row>
        <row r="372">
          <cell r="T372" t="str">
            <v>Manabo, Guillermo Dela Cruz</v>
          </cell>
        </row>
        <row r="372">
          <cell r="AS372">
            <v>1</v>
          </cell>
        </row>
        <row r="372">
          <cell r="BS372" t="str">
            <v>Residential</v>
          </cell>
          <cell r="BT372" t="str">
            <v>Structure Owner</v>
          </cell>
        </row>
        <row r="372">
          <cell r="VV372" t="str">
            <v>legal</v>
          </cell>
        </row>
        <row r="373">
          <cell r="A373" t="str">
            <v>legal-r 372</v>
          </cell>
        </row>
        <row r="373">
          <cell r="C373" t="str">
            <v>VC-089</v>
          </cell>
        </row>
        <row r="373">
          <cell r="E373" t="str">
            <v>576 Dulong Tangke St. Malinta Valenzuela City</v>
          </cell>
        </row>
        <row r="373">
          <cell r="T373" t="str">
            <v>Sumayang, Daniel Caputol</v>
          </cell>
        </row>
        <row r="373">
          <cell r="BS373" t="str">
            <v>Residential</v>
          </cell>
          <cell r="BT373" t="str">
            <v>Structure Renter</v>
          </cell>
        </row>
        <row r="373">
          <cell r="JP373">
            <v>160</v>
          </cell>
        </row>
        <row r="373">
          <cell r="JR373" t="str">
            <v>Need Displacement</v>
          </cell>
        </row>
        <row r="374">
          <cell r="A374" t="str">
            <v>legal</v>
          </cell>
        </row>
        <row r="374">
          <cell r="C374" t="str">
            <v>VC-090</v>
          </cell>
        </row>
        <row r="374">
          <cell r="E374" t="str">
            <v>583 Dulong Tangke St. Malinta Valenzuela City</v>
          </cell>
        </row>
        <row r="374">
          <cell r="T374" t="str">
            <v>Dela Cruz, Gema Biger</v>
          </cell>
        </row>
        <row r="374">
          <cell r="AS374">
            <v>1</v>
          </cell>
        </row>
        <row r="374">
          <cell r="BS374" t="str">
            <v>Residential</v>
          </cell>
          <cell r="BT374" t="str">
            <v>Structure Owner</v>
          </cell>
        </row>
        <row r="374">
          <cell r="VV374" t="str">
            <v>legal</v>
          </cell>
        </row>
        <row r="375">
          <cell r="A375" t="str">
            <v>legal</v>
          </cell>
        </row>
        <row r="375">
          <cell r="C375" t="str">
            <v>VC-091</v>
          </cell>
        </row>
        <row r="375">
          <cell r="E375" t="str">
            <v>583 Dulong Tangke St. Malinta Valenzuela City</v>
          </cell>
        </row>
        <row r="375">
          <cell r="T375" t="str">
            <v>Manabo, Guillermo Dela Cruz</v>
          </cell>
        </row>
        <row r="375">
          <cell r="AS375">
            <v>1</v>
          </cell>
        </row>
        <row r="375">
          <cell r="BS375" t="str">
            <v>Residential</v>
          </cell>
          <cell r="BT375" t="str">
            <v>Structure Owner</v>
          </cell>
        </row>
        <row r="375">
          <cell r="VV375" t="str">
            <v>legal</v>
          </cell>
        </row>
        <row r="376">
          <cell r="A376" t="str">
            <v>legal-r 375</v>
          </cell>
        </row>
        <row r="376">
          <cell r="C376" t="str">
            <v>VC-091</v>
          </cell>
        </row>
        <row r="376">
          <cell r="E376" t="str">
            <v>583 Dulong Tangke St. Malinta Valenzuela City</v>
          </cell>
        </row>
        <row r="376">
          <cell r="T376" t="str">
            <v>Fernandez, Carlos F</v>
          </cell>
        </row>
        <row r="376">
          <cell r="BS376" t="str">
            <v>Residential</v>
          </cell>
          <cell r="BT376" t="str">
            <v>Structure Renter</v>
          </cell>
        </row>
        <row r="376">
          <cell r="JP376">
            <v>700</v>
          </cell>
        </row>
        <row r="376">
          <cell r="JR376" t="str">
            <v>Need Displacement</v>
          </cell>
        </row>
        <row r="377">
          <cell r="A377" t="str">
            <v>legal</v>
          </cell>
        </row>
        <row r="377">
          <cell r="C377" t="str">
            <v>VC-092</v>
          </cell>
        </row>
        <row r="377">
          <cell r="E377" t="str">
            <v>576 Dulong Tangke St. Malinta Valenzuela City</v>
          </cell>
        </row>
        <row r="377">
          <cell r="T377" t="str">
            <v>Guillermo Manabo</v>
          </cell>
        </row>
        <row r="377">
          <cell r="AS377">
            <v>1</v>
          </cell>
        </row>
        <row r="377">
          <cell r="BS377" t="str">
            <v>Residential</v>
          </cell>
          <cell r="BT377" t="str">
            <v>Structure Owner</v>
          </cell>
        </row>
        <row r="377">
          <cell r="VV377" t="str">
            <v>legal</v>
          </cell>
        </row>
        <row r="378">
          <cell r="A378" t="str">
            <v>legal-r 377</v>
          </cell>
        </row>
        <row r="378">
          <cell r="C378" t="str">
            <v>VC-092</v>
          </cell>
        </row>
        <row r="378">
          <cell r="E378" t="str">
            <v>576 Dulong Tangke St. Malinta Valenzuela City</v>
          </cell>
        </row>
        <row r="378">
          <cell r="T378" t="str">
            <v>Sarruca, Andre Marian</v>
          </cell>
        </row>
        <row r="378">
          <cell r="BS378" t="str">
            <v>Residential</v>
          </cell>
          <cell r="BT378" t="str">
            <v>Structure Renter</v>
          </cell>
        </row>
        <row r="378">
          <cell r="JP378">
            <v>1200</v>
          </cell>
        </row>
        <row r="378">
          <cell r="JR378" t="str">
            <v>Need Displacement</v>
          </cell>
        </row>
        <row r="378">
          <cell r="VV378" t="str">
            <v>legal-r 377</v>
          </cell>
        </row>
        <row r="379">
          <cell r="A379" t="str">
            <v>legal-r 377</v>
          </cell>
        </row>
        <row r="379">
          <cell r="C379" t="str">
            <v>VC-092</v>
          </cell>
        </row>
        <row r="379">
          <cell r="E379" t="str">
            <v>576 Dulong Tangke St. Malinta Valenzuela City</v>
          </cell>
        </row>
        <row r="379">
          <cell r="T379" t="str">
            <v>Gatchalian, Romeo</v>
          </cell>
        </row>
        <row r="379">
          <cell r="BS379" t="str">
            <v>Residential</v>
          </cell>
          <cell r="BT379" t="str">
            <v>Structure Renter</v>
          </cell>
        </row>
        <row r="379">
          <cell r="VV379" t="str">
            <v>legal-r 377</v>
          </cell>
        </row>
        <row r="380">
          <cell r="A380" t="str">
            <v>legal-r 377</v>
          </cell>
        </row>
        <row r="380">
          <cell r="C380" t="str">
            <v>VC-092A</v>
          </cell>
        </row>
        <row r="380">
          <cell r="E380" t="str">
            <v>576 Dulong Tangke St. Malinta Valenzuela City</v>
          </cell>
        </row>
        <row r="380">
          <cell r="T380" t="str">
            <v>Manabo, Garry</v>
          </cell>
        </row>
        <row r="380">
          <cell r="BS380" t="str">
            <v>Residential</v>
          </cell>
          <cell r="BT380" t="str">
            <v>Structure Owner</v>
          </cell>
        </row>
        <row r="380">
          <cell r="VV380" t="str">
            <v>legal-r 377</v>
          </cell>
        </row>
        <row r="381">
          <cell r="A381" t="str">
            <v>legal</v>
          </cell>
        </row>
        <row r="381">
          <cell r="C381" t="str">
            <v>VC-093</v>
          </cell>
        </row>
        <row r="381">
          <cell r="E381" t="str">
            <v>576 Dulong Tangke St. Malinta Valenzuela City</v>
          </cell>
        </row>
        <row r="381">
          <cell r="T381" t="str">
            <v>Manabo, Guillermo Dela Cruz</v>
          </cell>
        </row>
        <row r="381">
          <cell r="AS381">
            <v>0.5455</v>
          </cell>
        </row>
        <row r="381">
          <cell r="BS381" t="str">
            <v>Residential</v>
          </cell>
          <cell r="BT381" t="str">
            <v>Structure Owner</v>
          </cell>
        </row>
        <row r="381">
          <cell r="VV381" t="str">
            <v>legal</v>
          </cell>
        </row>
        <row r="382">
          <cell r="A382" t="str">
            <v>legal-r 381</v>
          </cell>
        </row>
        <row r="382">
          <cell r="C382" t="str">
            <v>VC-093</v>
          </cell>
        </row>
        <row r="382">
          <cell r="E382" t="str">
            <v>576 Dulong Tangke St. Malinta Valenzuela City</v>
          </cell>
        </row>
        <row r="382">
          <cell r="T382" t="str">
            <v>Espinosa, Grace</v>
          </cell>
        </row>
        <row r="382">
          <cell r="BS382" t="str">
            <v>Residential</v>
          </cell>
          <cell r="BT382" t="str">
            <v>Structure Renter</v>
          </cell>
        </row>
        <row r="382">
          <cell r="JP382">
            <v>300</v>
          </cell>
        </row>
        <row r="382">
          <cell r="JR382" t="str">
            <v>Need Displacement</v>
          </cell>
        </row>
        <row r="382">
          <cell r="VV382" t="str">
            <v>legal-r 381</v>
          </cell>
        </row>
        <row r="383">
          <cell r="A383" t="str">
            <v>legal-r 381</v>
          </cell>
        </row>
        <row r="383">
          <cell r="C383" t="str">
            <v>VC-093</v>
          </cell>
        </row>
        <row r="383">
          <cell r="E383" t="str">
            <v>576 Dulong Tangke St. Malinta Valenzuela City</v>
          </cell>
        </row>
        <row r="383">
          <cell r="T383" t="str">
            <v>Atienza, Alfie</v>
          </cell>
        </row>
        <row r="383">
          <cell r="BS383" t="str">
            <v>Residential</v>
          </cell>
          <cell r="BT383" t="str">
            <v>Structure Renter</v>
          </cell>
        </row>
        <row r="383">
          <cell r="JP383">
            <v>300</v>
          </cell>
        </row>
        <row r="383">
          <cell r="JR383" t="str">
            <v>Need Displacement</v>
          </cell>
        </row>
        <row r="384">
          <cell r="A384" t="str">
            <v>legal-r 381</v>
          </cell>
        </row>
        <row r="384">
          <cell r="C384" t="str">
            <v>VC-093</v>
          </cell>
        </row>
        <row r="384">
          <cell r="E384" t="str">
            <v>576 Dulong Tangke St. Malinta Valenzuela City</v>
          </cell>
        </row>
        <row r="384">
          <cell r="T384" t="str">
            <v>Ruel Cornelio (CBL)</v>
          </cell>
        </row>
        <row r="384">
          <cell r="BS384" t="str">
            <v>Residential</v>
          </cell>
          <cell r="BT384" t="str">
            <v>Structure Renter</v>
          </cell>
        </row>
        <row r="384">
          <cell r="JP384">
            <v>300</v>
          </cell>
        </row>
        <row r="384">
          <cell r="VV384" t="str">
            <v>legal-r 381</v>
          </cell>
        </row>
        <row r="385">
          <cell r="A385" t="str">
            <v>legal</v>
          </cell>
        </row>
        <row r="385">
          <cell r="C385" t="str">
            <v>VC-094</v>
          </cell>
        </row>
        <row r="385">
          <cell r="E385" t="str">
            <v>576 Dulong Tangke St. Malinta Valenzuela City</v>
          </cell>
        </row>
        <row r="385">
          <cell r="T385" t="str">
            <v>Guillermo Manabo</v>
          </cell>
        </row>
        <row r="385">
          <cell r="AS385">
            <v>1</v>
          </cell>
        </row>
        <row r="385">
          <cell r="BS385" t="str">
            <v>Mixed use</v>
          </cell>
          <cell r="BT385" t="str">
            <v>Structure Owner</v>
          </cell>
        </row>
        <row r="385">
          <cell r="VV385" t="str">
            <v>legal</v>
          </cell>
        </row>
        <row r="386">
          <cell r="A386" t="str">
            <v>legal 385</v>
          </cell>
        </row>
        <row r="386">
          <cell r="C386" t="str">
            <v>VC-094</v>
          </cell>
        </row>
        <row r="386">
          <cell r="E386" t="str">
            <v>576 Dulong Tangke St. Malinta Valenzuela City</v>
          </cell>
        </row>
        <row r="386">
          <cell r="T386" t="str">
            <v>Manabo, Gerry</v>
          </cell>
        </row>
        <row r="386">
          <cell r="BS386" t="str">
            <v>Mixed use</v>
          </cell>
          <cell r="BT386" t="str">
            <v>Sharer</v>
          </cell>
        </row>
        <row r="386">
          <cell r="JR386" t="str">
            <v>Need Displacement</v>
          </cell>
        </row>
        <row r="386">
          <cell r="VV386" t="str">
            <v>legal 385</v>
          </cell>
        </row>
        <row r="387">
          <cell r="A387" t="str">
            <v>legal-r 385</v>
          </cell>
        </row>
        <row r="387">
          <cell r="C387" t="str">
            <v>VC-094</v>
          </cell>
        </row>
        <row r="387">
          <cell r="E387" t="str">
            <v>576 Dulong Tangke St. Malinta Valenzuela City</v>
          </cell>
        </row>
        <row r="387">
          <cell r="T387" t="str">
            <v>Dela Torre, Jonathan</v>
          </cell>
        </row>
        <row r="387">
          <cell r="BS387" t="str">
            <v>Mixed use</v>
          </cell>
          <cell r="BT387" t="str">
            <v>Structure Renter</v>
          </cell>
        </row>
        <row r="387">
          <cell r="JP387">
            <v>400</v>
          </cell>
        </row>
        <row r="387">
          <cell r="JR387" t="str">
            <v>Need Displacement</v>
          </cell>
        </row>
        <row r="387">
          <cell r="VV387" t="str">
            <v>legal-r 385</v>
          </cell>
        </row>
        <row r="388">
          <cell r="A388" t="str">
            <v>legal-r 385</v>
          </cell>
        </row>
        <row r="388">
          <cell r="C388" t="str">
            <v>VC-094</v>
          </cell>
        </row>
        <row r="388">
          <cell r="E388" t="str">
            <v>576 Dulong Tangke St. Malinta Valenzuela City</v>
          </cell>
        </row>
        <row r="388">
          <cell r="T388" t="str">
            <v>Domosmog, Richard Orddeneza</v>
          </cell>
        </row>
        <row r="388">
          <cell r="BS388" t="str">
            <v>Mixed use</v>
          </cell>
          <cell r="BT388" t="str">
            <v>Structure Renter</v>
          </cell>
        </row>
        <row r="388">
          <cell r="JP388">
            <v>300</v>
          </cell>
        </row>
        <row r="388">
          <cell r="JR388" t="str">
            <v>Need Displacement</v>
          </cell>
        </row>
        <row r="388">
          <cell r="VV388" t="str">
            <v>legal-r 385</v>
          </cell>
        </row>
        <row r="389">
          <cell r="A389" t="str">
            <v>legal</v>
          </cell>
        </row>
        <row r="389">
          <cell r="C389" t="str">
            <v>VC-095</v>
          </cell>
        </row>
        <row r="389">
          <cell r="E389" t="str">
            <v>576 Dulong Tangke St. Malinta Valenzuela City</v>
          </cell>
        </row>
        <row r="389">
          <cell r="T389" t="str">
            <v>Manabo, Guillermo Dela Cruz</v>
          </cell>
        </row>
        <row r="389">
          <cell r="AS389">
            <v>1</v>
          </cell>
        </row>
        <row r="389">
          <cell r="BS389" t="str">
            <v>Residential</v>
          </cell>
          <cell r="BT389" t="str">
            <v>Structure Owner</v>
          </cell>
        </row>
        <row r="389">
          <cell r="JR389" t="str">
            <v>Need Displacement</v>
          </cell>
        </row>
        <row r="389">
          <cell r="KG389">
            <v>6300</v>
          </cell>
        </row>
        <row r="389">
          <cell r="VV389" t="str">
            <v>legal</v>
          </cell>
        </row>
        <row r="390">
          <cell r="A390" t="str">
            <v>legal-r 389</v>
          </cell>
        </row>
        <row r="390">
          <cell r="C390" t="str">
            <v>VC-095</v>
          </cell>
        </row>
        <row r="390">
          <cell r="E390" t="str">
            <v>576 Dulong Tangke St. Malinta Valenzuela City</v>
          </cell>
        </row>
        <row r="390">
          <cell r="T390" t="str">
            <v>Monghit, Joseph</v>
          </cell>
        </row>
        <row r="390">
          <cell r="BS390" t="str">
            <v>Residential</v>
          </cell>
          <cell r="BT390" t="str">
            <v>Structure Renter</v>
          </cell>
        </row>
        <row r="390">
          <cell r="JP390">
            <v>500</v>
          </cell>
        </row>
        <row r="390">
          <cell r="JR390" t="str">
            <v>Need Displacement</v>
          </cell>
        </row>
        <row r="390">
          <cell r="VV390" t="str">
            <v>legal-r 389</v>
          </cell>
        </row>
        <row r="391">
          <cell r="A391" t="str">
            <v>legal-r 389</v>
          </cell>
        </row>
        <row r="391">
          <cell r="C391" t="str">
            <v>VC-095</v>
          </cell>
        </row>
        <row r="391">
          <cell r="E391" t="str">
            <v>576 Dulong Tangke St. Malinta Valenzuela City</v>
          </cell>
        </row>
        <row r="391">
          <cell r="T391" t="str">
            <v>Ecarma, Gladwin</v>
          </cell>
        </row>
        <row r="391">
          <cell r="BS391" t="str">
            <v>Residential</v>
          </cell>
          <cell r="BT391" t="str">
            <v>Structure Renter</v>
          </cell>
        </row>
        <row r="391">
          <cell r="JP391">
            <v>200</v>
          </cell>
        </row>
        <row r="391">
          <cell r="JR391" t="str">
            <v>Need Displacement</v>
          </cell>
        </row>
        <row r="391">
          <cell r="VV391" t="str">
            <v>legal-r 389</v>
          </cell>
        </row>
        <row r="392">
          <cell r="A392" t="str">
            <v>legal-r 389</v>
          </cell>
        </row>
        <row r="392">
          <cell r="C392" t="str">
            <v>VC-095</v>
          </cell>
        </row>
        <row r="392">
          <cell r="E392" t="str">
            <v>576 Dulong Tangke St. Malinta Valenzuela City</v>
          </cell>
        </row>
        <row r="392">
          <cell r="T392" t="str">
            <v>Kabashima, Robin Jose</v>
          </cell>
        </row>
        <row r="392">
          <cell r="BS392" t="str">
            <v>Residential</v>
          </cell>
          <cell r="BT392" t="str">
            <v>Structure Renter</v>
          </cell>
        </row>
        <row r="392">
          <cell r="JP392">
            <v>1200</v>
          </cell>
        </row>
        <row r="392">
          <cell r="JR392" t="str">
            <v>Need Displacement</v>
          </cell>
        </row>
        <row r="392">
          <cell r="VV392" t="str">
            <v>legal-r 389</v>
          </cell>
        </row>
        <row r="393">
          <cell r="A393" t="str">
            <v>legal</v>
          </cell>
        </row>
        <row r="393">
          <cell r="C393" t="str">
            <v>VC-096</v>
          </cell>
        </row>
        <row r="393">
          <cell r="E393" t="str">
            <v>590 Dulong Tangke St. Malinta Valenzuela City</v>
          </cell>
        </row>
        <row r="393">
          <cell r="T393" t="str">
            <v>De Leon, Nestor</v>
          </cell>
        </row>
        <row r="393">
          <cell r="AS393">
            <v>0.25</v>
          </cell>
        </row>
        <row r="393">
          <cell r="BS393" t="str">
            <v>Residential</v>
          </cell>
          <cell r="BT393" t="str">
            <v>Structure Owner</v>
          </cell>
        </row>
        <row r="393">
          <cell r="JR393" t="str">
            <v>Can Stay</v>
          </cell>
        </row>
        <row r="393">
          <cell r="VV393" t="str">
            <v>legal</v>
          </cell>
        </row>
        <row r="394">
          <cell r="A394" t="str">
            <v>legal</v>
          </cell>
        </row>
        <row r="394">
          <cell r="C394" t="str">
            <v>VC-097</v>
          </cell>
        </row>
        <row r="394">
          <cell r="E394" t="str">
            <v>589 Dulong Tangke St. Malinta Valenzuela City</v>
          </cell>
        </row>
        <row r="394">
          <cell r="T394" t="str">
            <v>Nabol, Efren P.</v>
          </cell>
        </row>
        <row r="394">
          <cell r="AS394">
            <v>0.1679</v>
          </cell>
        </row>
        <row r="394">
          <cell r="BS394" t="str">
            <v>Residential</v>
          </cell>
          <cell r="BT394" t="str">
            <v>Land Owner</v>
          </cell>
        </row>
        <row r="394">
          <cell r="VV394" t="str">
            <v>legal</v>
          </cell>
        </row>
        <row r="395">
          <cell r="A395" t="str">
            <v>legal 394</v>
          </cell>
        </row>
        <row r="395">
          <cell r="C395" t="str">
            <v>VC-097</v>
          </cell>
        </row>
        <row r="395">
          <cell r="E395" t="str">
            <v>589 Dulong Tangke St. Malinta Valenzuela City</v>
          </cell>
        </row>
        <row r="395">
          <cell r="T395" t="str">
            <v>Nabol, Iven Pauya</v>
          </cell>
        </row>
        <row r="395">
          <cell r="BS395" t="str">
            <v>Residential</v>
          </cell>
          <cell r="BT395" t="str">
            <v>Structure Owner</v>
          </cell>
        </row>
        <row r="395">
          <cell r="JR395" t="str">
            <v>Need Displacement</v>
          </cell>
        </row>
        <row r="396">
          <cell r="A396" t="str">
            <v>legal</v>
          </cell>
        </row>
        <row r="396">
          <cell r="C396" t="str">
            <v>VC-098</v>
          </cell>
        </row>
        <row r="396">
          <cell r="E396" t="str">
            <v>576 Dulong Tangke St. Malinta Valenzuela City</v>
          </cell>
        </row>
        <row r="396">
          <cell r="T396" t="str">
            <v>Tomaquin, Barbara V.</v>
          </cell>
        </row>
        <row r="396">
          <cell r="AS396">
            <v>0.1443</v>
          </cell>
        </row>
        <row r="396">
          <cell r="BS396" t="str">
            <v>Mixed use</v>
          </cell>
          <cell r="BT396" t="str">
            <v>Structure Owner</v>
          </cell>
        </row>
        <row r="396">
          <cell r="JR396" t="str">
            <v>Can Stay</v>
          </cell>
        </row>
        <row r="397">
          <cell r="A397" t="str">
            <v>legal</v>
          </cell>
        </row>
        <row r="397">
          <cell r="C397" t="str">
            <v>VC-099</v>
          </cell>
        </row>
        <row r="397">
          <cell r="E397" t="str">
            <v>525 Dulong Tangke St. Malinta Valenzuela City</v>
          </cell>
        </row>
        <row r="397">
          <cell r="T397" t="str">
            <v>Salonga, Adoracion</v>
          </cell>
        </row>
        <row r="397">
          <cell r="AS397">
            <v>0.2083</v>
          </cell>
        </row>
        <row r="397">
          <cell r="BS397" t="str">
            <v>Residential</v>
          </cell>
          <cell r="BT397" t="str">
            <v>Structure Owner</v>
          </cell>
        </row>
        <row r="397">
          <cell r="VV397" t="str">
            <v>legal</v>
          </cell>
        </row>
        <row r="398">
          <cell r="A398" t="str">
            <v>legal-r 397</v>
          </cell>
        </row>
        <row r="398">
          <cell r="C398" t="str">
            <v>VC-099</v>
          </cell>
        </row>
        <row r="398">
          <cell r="E398" t="str">
            <v>525 Dulong Tangke St. Malinta Valenzuela City</v>
          </cell>
        </row>
        <row r="398">
          <cell r="T398" t="str">
            <v>de Real, Joel</v>
          </cell>
        </row>
        <row r="398">
          <cell r="BS398" t="str">
            <v>Residential</v>
          </cell>
          <cell r="BT398" t="str">
            <v>Structure Renter</v>
          </cell>
        </row>
        <row r="398">
          <cell r="JP398">
            <v>700</v>
          </cell>
        </row>
        <row r="398">
          <cell r="JR398" t="str">
            <v>Need Displacement</v>
          </cell>
        </row>
        <row r="398">
          <cell r="VV398" t="str">
            <v>legal-r 397</v>
          </cell>
        </row>
        <row r="399">
          <cell r="A399" t="str">
            <v>legal 397</v>
          </cell>
        </row>
        <row r="399">
          <cell r="C399" t="str">
            <v>VC-099</v>
          </cell>
        </row>
        <row r="399">
          <cell r="E399" t="str">
            <v>525 Dulong Tangke St. Malinta Valenzuela City</v>
          </cell>
        </row>
        <row r="399">
          <cell r="T399" t="str">
            <v>Salonga, Virgilio</v>
          </cell>
        </row>
        <row r="399">
          <cell r="BS399" t="str">
            <v>Residential</v>
          </cell>
          <cell r="BT399" t="str">
            <v>Sharer</v>
          </cell>
        </row>
        <row r="399">
          <cell r="JR399" t="str">
            <v>Can Stay</v>
          </cell>
        </row>
        <row r="399">
          <cell r="VV399" t="str">
            <v>legal 397</v>
          </cell>
        </row>
        <row r="400">
          <cell r="A400" t="str">
            <v>legal</v>
          </cell>
        </row>
        <row r="400">
          <cell r="C400" t="str">
            <v>VC-100</v>
          </cell>
        </row>
        <row r="400">
          <cell r="E400" t="str">
            <v>525 Dulong Tangke St. Malinta Valenzuela City</v>
          </cell>
        </row>
        <row r="400">
          <cell r="T400" t="str">
            <v>(CANNOT BE LOCATED)</v>
          </cell>
        </row>
        <row r="400">
          <cell r="AS400">
            <v>0.21</v>
          </cell>
        </row>
        <row r="400">
          <cell r="BS400" t="str">
            <v>Residential</v>
          </cell>
          <cell r="BT400" t="str">
            <v>Structure Owner</v>
          </cell>
        </row>
        <row r="400">
          <cell r="VV400" t="str">
            <v>legal</v>
          </cell>
        </row>
        <row r="401">
          <cell r="A401" t="str">
            <v>legal-r 400</v>
          </cell>
        </row>
        <row r="401">
          <cell r="C401" t="str">
            <v>VC-100</v>
          </cell>
        </row>
        <row r="401">
          <cell r="E401" t="str">
            <v>525 Dulong Tangke St. Malinta Valenzuela City</v>
          </cell>
        </row>
        <row r="401">
          <cell r="T401" t="str">
            <v>Concepcion, George Soan</v>
          </cell>
        </row>
        <row r="401">
          <cell r="BS401" t="str">
            <v>Residential</v>
          </cell>
          <cell r="BT401" t="str">
            <v>Structure Renter</v>
          </cell>
        </row>
        <row r="401">
          <cell r="JP401">
            <v>800</v>
          </cell>
        </row>
        <row r="401">
          <cell r="JR401" t="str">
            <v>Need Displacement</v>
          </cell>
        </row>
        <row r="401">
          <cell r="VV401" t="str">
            <v>legal-r 400</v>
          </cell>
        </row>
        <row r="402">
          <cell r="A402" t="str">
            <v>legal-r 400</v>
          </cell>
        </row>
        <row r="402">
          <cell r="C402" t="str">
            <v>VC-100</v>
          </cell>
        </row>
        <row r="402">
          <cell r="E402" t="str">
            <v>525 Dulong Tangke St. Malinta Valenzuela City</v>
          </cell>
        </row>
        <row r="402">
          <cell r="T402" t="str">
            <v>Salonga, Rogelio Cristobal</v>
          </cell>
        </row>
        <row r="402">
          <cell r="BS402" t="str">
            <v>Residential</v>
          </cell>
          <cell r="BT402" t="str">
            <v>Structure Renter</v>
          </cell>
        </row>
        <row r="402">
          <cell r="JP402">
            <v>500</v>
          </cell>
        </row>
        <row r="402">
          <cell r="JR402" t="str">
            <v>Need Displacement</v>
          </cell>
        </row>
        <row r="402">
          <cell r="VV402" t="str">
            <v>legal-r 400</v>
          </cell>
        </row>
        <row r="403">
          <cell r="A403" t="str">
            <v>legal-r 400</v>
          </cell>
        </row>
        <row r="403">
          <cell r="C403" t="str">
            <v>VC-100</v>
          </cell>
        </row>
        <row r="403">
          <cell r="E403" t="str">
            <v>525 Dulong Tangke St. Malinta Valenzuela City</v>
          </cell>
        </row>
        <row r="403">
          <cell r="T403" t="str">
            <v>Concepcion, Jaycie Jane</v>
          </cell>
        </row>
        <row r="403">
          <cell r="BS403" t="str">
            <v>Residential</v>
          </cell>
          <cell r="BT403" t="str">
            <v>Structure Renter</v>
          </cell>
        </row>
        <row r="403">
          <cell r="JP403">
            <v>1700</v>
          </cell>
        </row>
        <row r="403">
          <cell r="JR403" t="str">
            <v>Need Displacement</v>
          </cell>
        </row>
        <row r="403">
          <cell r="VV403" t="str">
            <v>legal-r 400</v>
          </cell>
        </row>
        <row r="404">
          <cell r="A404" t="str">
            <v>legal</v>
          </cell>
        </row>
        <row r="404">
          <cell r="C404" t="str">
            <v>VC-101</v>
          </cell>
        </row>
        <row r="404">
          <cell r="E404" t="str">
            <v>576 Dulong Tangke St. Malinta Valenzuela City</v>
          </cell>
        </row>
        <row r="404">
          <cell r="T404" t="str">
            <v>(CANNOT BE LOCATED)</v>
          </cell>
        </row>
        <row r="404">
          <cell r="AS404">
            <v>0.409090909090909</v>
          </cell>
        </row>
        <row r="404">
          <cell r="BS404" t="str">
            <v>Residential</v>
          </cell>
          <cell r="BT404" t="str">
            <v>Land Owner</v>
          </cell>
        </row>
        <row r="404">
          <cell r="VV404" t="str">
            <v>legal</v>
          </cell>
        </row>
        <row r="405">
          <cell r="A405" t="str">
            <v>legal</v>
          </cell>
        </row>
        <row r="405">
          <cell r="C405" t="str">
            <v>VC-102</v>
          </cell>
        </row>
        <row r="405">
          <cell r="E405" t="str">
            <v>545 Dulong Tangke St. Malinta Valenzuela City</v>
          </cell>
        </row>
        <row r="405">
          <cell r="T405" t="str">
            <v>Lausa, Manolito Librado</v>
          </cell>
        </row>
        <row r="405">
          <cell r="AS405">
            <v>1</v>
          </cell>
        </row>
        <row r="405">
          <cell r="BS405" t="str">
            <v>Residential</v>
          </cell>
          <cell r="BT405" t="str">
            <v>Structure Owner</v>
          </cell>
        </row>
        <row r="405">
          <cell r="JR405" t="str">
            <v>Need Displacement</v>
          </cell>
        </row>
        <row r="405">
          <cell r="KI405" t="str">
            <v>Relocation</v>
          </cell>
        </row>
        <row r="405">
          <cell r="KL405" t="str">
            <v>Disiplina Village (Brgy Bignay, Valenzuela City)</v>
          </cell>
        </row>
        <row r="405">
          <cell r="KQ405" t="str">
            <v>x</v>
          </cell>
        </row>
        <row r="405">
          <cell r="LB405" t="str">
            <v>x</v>
          </cell>
        </row>
        <row r="406">
          <cell r="A406" t="str">
            <v>legal</v>
          </cell>
        </row>
        <row r="406">
          <cell r="C406" t="str">
            <v>VC-103</v>
          </cell>
        </row>
        <row r="406">
          <cell r="E406" t="str">
            <v>545 Dulong Tangke St. Malinta Valenzuela City</v>
          </cell>
        </row>
        <row r="406">
          <cell r="T406" t="str">
            <v>Beldosola, Edwin</v>
          </cell>
        </row>
        <row r="406">
          <cell r="AS406">
            <v>0.5263</v>
          </cell>
        </row>
        <row r="406">
          <cell r="BS406" t="str">
            <v>Residential</v>
          </cell>
          <cell r="BT406" t="str">
            <v>Structure Owner</v>
          </cell>
        </row>
        <row r="406">
          <cell r="JP406">
            <v>400</v>
          </cell>
        </row>
        <row r="406">
          <cell r="JR406" t="str">
            <v>Need Displacement</v>
          </cell>
        </row>
        <row r="406">
          <cell r="KI406" t="str">
            <v>Relocation</v>
          </cell>
          <cell r="KJ406" t="str">
            <v>In City</v>
          </cell>
        </row>
        <row r="406">
          <cell r="KL406" t="str">
            <v>Disiplina Village (Brgy Bignay, Valenzuela City)</v>
          </cell>
        </row>
        <row r="406">
          <cell r="KR406" t="str">
            <v>x</v>
          </cell>
        </row>
        <row r="406">
          <cell r="KT406" t="str">
            <v>x</v>
          </cell>
          <cell r="KU406" t="str">
            <v>x</v>
          </cell>
        </row>
        <row r="406">
          <cell r="KX406" t="str">
            <v>Y</v>
          </cell>
        </row>
        <row r="406">
          <cell r="KZ406" t="str">
            <v>x</v>
          </cell>
        </row>
        <row r="406">
          <cell r="LB406" t="str">
            <v>x</v>
          </cell>
          <cell r="LC406" t="str">
            <v>x</v>
          </cell>
          <cell r="LD406" t="str">
            <v>x</v>
          </cell>
          <cell r="LE406" t="str">
            <v>x</v>
          </cell>
          <cell r="LF406" t="str">
            <v>x</v>
          </cell>
        </row>
        <row r="407">
          <cell r="A407" t="str">
            <v>legal</v>
          </cell>
        </row>
        <row r="407">
          <cell r="C407" t="str">
            <v>VC-105</v>
          </cell>
        </row>
        <row r="407">
          <cell r="E407" t="str">
            <v>592 Dulong Tangke St. Malinta Valenzuela City</v>
          </cell>
        </row>
        <row r="407">
          <cell r="T407" t="str">
            <v>Cabigas, Francisca</v>
          </cell>
        </row>
        <row r="407">
          <cell r="AS407">
            <v>0.7143</v>
          </cell>
        </row>
        <row r="407">
          <cell r="BS407" t="str">
            <v>Residential</v>
          </cell>
          <cell r="BT407" t="str">
            <v>Structure Owner</v>
          </cell>
        </row>
        <row r="407">
          <cell r="JR407" t="str">
            <v>Need Displacement</v>
          </cell>
        </row>
        <row r="407">
          <cell r="KI407" t="str">
            <v>Cash Compensation</v>
          </cell>
        </row>
        <row r="408">
          <cell r="A408" t="str">
            <v>legal</v>
          </cell>
        </row>
        <row r="408">
          <cell r="C408" t="str">
            <v>VC-105.1</v>
          </cell>
        </row>
        <row r="408">
          <cell r="E408" t="str">
            <v>A-7 Terras Cmpd., Karuhatan Valenzuela City</v>
          </cell>
        </row>
        <row r="408">
          <cell r="T408" t="str">
            <v>Bereber, Alfonso Alba</v>
          </cell>
        </row>
        <row r="408">
          <cell r="BS408" t="str">
            <v>Residential</v>
          </cell>
          <cell r="BT408" t="str">
            <v>Structure Owner</v>
          </cell>
        </row>
        <row r="408">
          <cell r="VV408" t="str">
            <v>legal</v>
          </cell>
        </row>
        <row r="409">
          <cell r="A409" t="str">
            <v>legal</v>
          </cell>
        </row>
        <row r="409">
          <cell r="C409" t="str">
            <v>VC-106</v>
          </cell>
        </row>
        <row r="409">
          <cell r="E409" t="str">
            <v>570 Dulong Tangke St. Malinta Valenzuela City</v>
          </cell>
        </row>
        <row r="409">
          <cell r="T409" t="str">
            <v>Lugo, Ferdinand</v>
          </cell>
        </row>
        <row r="409">
          <cell r="BS409" t="str">
            <v>Residential</v>
          </cell>
          <cell r="BT409" t="str">
            <v>Structure Owner</v>
          </cell>
        </row>
        <row r="409">
          <cell r="JR409" t="str">
            <v>Need Displacement</v>
          </cell>
        </row>
        <row r="409">
          <cell r="KI409" t="str">
            <v>Relocation</v>
          </cell>
        </row>
        <row r="409">
          <cell r="KL409" t="str">
            <v>Disiplina Village (Brgy Bignay, Valenzuela City)</v>
          </cell>
        </row>
        <row r="409">
          <cell r="KQ409" t="str">
            <v>x</v>
          </cell>
        </row>
        <row r="409">
          <cell r="KX409" t="str">
            <v>Y</v>
          </cell>
        </row>
        <row r="409">
          <cell r="LB409" t="str">
            <v>x</v>
          </cell>
        </row>
        <row r="410">
          <cell r="A410" t="str">
            <v>legal</v>
          </cell>
        </row>
        <row r="410">
          <cell r="C410" t="str">
            <v>VC-106.1A</v>
          </cell>
        </row>
        <row r="410">
          <cell r="E410" t="str">
            <v>A-9 Terias Cmpd., Karuhatan Valenzuela City</v>
          </cell>
        </row>
        <row r="410">
          <cell r="T410" t="str">
            <v>Lumio, Mabini</v>
          </cell>
        </row>
        <row r="410">
          <cell r="BS410" t="str">
            <v>Residential</v>
          </cell>
          <cell r="BT410" t="str">
            <v>Structure Owner</v>
          </cell>
        </row>
        <row r="410">
          <cell r="VV410" t="str">
            <v>legal</v>
          </cell>
        </row>
        <row r="411">
          <cell r="A411" t="str">
            <v>legal</v>
          </cell>
        </row>
        <row r="411">
          <cell r="C411" t="str">
            <v>VC-107</v>
          </cell>
        </row>
        <row r="411">
          <cell r="E411" t="str">
            <v> Dulong Tangke St. Malinta Valenzuela City</v>
          </cell>
        </row>
        <row r="411">
          <cell r="T411" t="str">
            <v>Duzon, Norberto</v>
          </cell>
        </row>
        <row r="411">
          <cell r="AS411">
            <v>1</v>
          </cell>
        </row>
        <row r="411">
          <cell r="BS411" t="str">
            <v>Residential</v>
          </cell>
          <cell r="BT411" t="str">
            <v>Structure Owner</v>
          </cell>
        </row>
        <row r="411">
          <cell r="JP411">
            <v>300</v>
          </cell>
        </row>
        <row r="411">
          <cell r="JR411" t="str">
            <v>Need Displacement</v>
          </cell>
        </row>
        <row r="411">
          <cell r="KI411" t="str">
            <v>Relocation</v>
          </cell>
          <cell r="KJ411" t="str">
            <v>Bulacan</v>
          </cell>
        </row>
        <row r="411">
          <cell r="KL411" t="str">
            <v>Disiplina Village (Brgy Bignay, Valenzuela City)</v>
          </cell>
        </row>
        <row r="411">
          <cell r="KQ411" t="str">
            <v>x</v>
          </cell>
          <cell r="KR411" t="str">
            <v>x</v>
          </cell>
          <cell r="KS411" t="str">
            <v>x</v>
          </cell>
          <cell r="KT411" t="str">
            <v>x</v>
          </cell>
          <cell r="KU411" t="str">
            <v>x</v>
          </cell>
        </row>
        <row r="411">
          <cell r="KX411" t="str">
            <v>Y</v>
          </cell>
        </row>
        <row r="411">
          <cell r="KZ411" t="str">
            <v>x</v>
          </cell>
        </row>
        <row r="411">
          <cell r="LB411" t="str">
            <v>x</v>
          </cell>
          <cell r="LC411" t="str">
            <v>x</v>
          </cell>
          <cell r="LD411" t="str">
            <v>x</v>
          </cell>
          <cell r="LE411" t="str">
            <v>x</v>
          </cell>
          <cell r="LF411" t="str">
            <v>x</v>
          </cell>
        </row>
        <row r="412">
          <cell r="A412" t="str">
            <v>legal</v>
          </cell>
        </row>
        <row r="412">
          <cell r="C412" t="str">
            <v>VC-108</v>
          </cell>
        </row>
        <row r="412">
          <cell r="E412" t="str">
            <v>595 Dulong Tangke St. Malinta Valenzuela City</v>
          </cell>
        </row>
        <row r="412">
          <cell r="T412" t="str">
            <v>Binlayo, Bryan Boholano</v>
          </cell>
        </row>
        <row r="412">
          <cell r="AS412">
            <v>0.9091</v>
          </cell>
        </row>
        <row r="412">
          <cell r="BS412" t="str">
            <v>Residential</v>
          </cell>
          <cell r="BT412" t="str">
            <v>Structure Owner</v>
          </cell>
        </row>
        <row r="412">
          <cell r="JR412" t="str">
            <v>Need Displacement</v>
          </cell>
        </row>
        <row r="412">
          <cell r="KI412" t="str">
            <v>Cash Compensation, Relocation(2nd)</v>
          </cell>
        </row>
        <row r="412">
          <cell r="KL412" t="str">
            <v>Disiplina Village (Brgy Bignay, Valenzuela City)</v>
          </cell>
        </row>
        <row r="412">
          <cell r="KR412" t="str">
            <v>x</v>
          </cell>
        </row>
        <row r="412">
          <cell r="KX412" t="str">
            <v>Y</v>
          </cell>
        </row>
        <row r="412">
          <cell r="KZ412" t="str">
            <v>x</v>
          </cell>
          <cell r="LA412" t="str">
            <v>x</v>
          </cell>
          <cell r="LB412" t="str">
            <v>x</v>
          </cell>
          <cell r="LC412" t="str">
            <v>x</v>
          </cell>
          <cell r="LD412" t="str">
            <v>x</v>
          </cell>
        </row>
        <row r="413">
          <cell r="A413" t="str">
            <v>legal</v>
          </cell>
        </row>
        <row r="413">
          <cell r="C413" t="str">
            <v>VC-110</v>
          </cell>
        </row>
        <row r="413">
          <cell r="E413" t="str">
            <v>595 Dulong Tangke St. Malinta Valenzuela City</v>
          </cell>
        </row>
        <row r="413">
          <cell r="T413" t="str">
            <v>Binlayo, Araceli Boholano</v>
          </cell>
        </row>
        <row r="413">
          <cell r="AS413">
            <v>0.2839</v>
          </cell>
        </row>
        <row r="413">
          <cell r="BS413" t="str">
            <v>Mixed use</v>
          </cell>
          <cell r="BT413" t="str">
            <v>Structure Owner</v>
          </cell>
        </row>
        <row r="413">
          <cell r="JR413" t="str">
            <v>Need Displacement</v>
          </cell>
        </row>
        <row r="413">
          <cell r="KI413" t="str">
            <v>Relocation (if near Original residence), Cash Compensation(2nd), Balik Probinsya(3rd)</v>
          </cell>
        </row>
        <row r="414">
          <cell r="A414" t="str">
            <v>legal</v>
          </cell>
        </row>
        <row r="414">
          <cell r="C414" t="str">
            <v>VC-111</v>
          </cell>
        </row>
        <row r="414">
          <cell r="E414" t="str">
            <v>596 Dulong Tangke St. Malinta Valenzuela City</v>
          </cell>
        </row>
        <row r="414">
          <cell r="T414" t="str">
            <v>(CANNOT BE LOCATED)</v>
          </cell>
        </row>
        <row r="414">
          <cell r="AS414">
            <v>1</v>
          </cell>
        </row>
        <row r="414">
          <cell r="BS414" t="str">
            <v>Industrial</v>
          </cell>
          <cell r="BT414" t="str">
            <v>Structure Owner</v>
          </cell>
        </row>
        <row r="414">
          <cell r="VV414" t="str">
            <v>legal</v>
          </cell>
        </row>
        <row r="415">
          <cell r="A415" t="str">
            <v>legal 414</v>
          </cell>
        </row>
        <row r="415">
          <cell r="C415" t="str">
            <v>VC-111</v>
          </cell>
        </row>
        <row r="415">
          <cell r="E415" t="str">
            <v>596 Dulong Tangke St. Malinta Valenzuela City</v>
          </cell>
        </row>
        <row r="415">
          <cell r="BS415" t="str">
            <v>Industrial</v>
          </cell>
          <cell r="BT415" t="str">
            <v>Structure Owner</v>
          </cell>
        </row>
        <row r="415">
          <cell r="VV415" t="str">
            <v>legal 414</v>
          </cell>
        </row>
        <row r="416">
          <cell r="A416" t="str">
            <v>legal 414</v>
          </cell>
        </row>
        <row r="416">
          <cell r="C416" t="str">
            <v>VC-111</v>
          </cell>
        </row>
        <row r="416">
          <cell r="E416" t="str">
            <v>596 Dulong Tangke St. Malinta Valenzuela City</v>
          </cell>
        </row>
        <row r="416">
          <cell r="BS416" t="str">
            <v>Industrial</v>
          </cell>
          <cell r="BT416" t="str">
            <v>Structure Owner</v>
          </cell>
        </row>
        <row r="416">
          <cell r="VV416" t="str">
            <v>legal 414</v>
          </cell>
        </row>
        <row r="417">
          <cell r="A417" t="str">
            <v>legal 414</v>
          </cell>
        </row>
        <row r="417">
          <cell r="C417" t="str">
            <v>VC-111</v>
          </cell>
        </row>
        <row r="417">
          <cell r="E417" t="str">
            <v>596 Dulong Tangke St. Malinta Valenzuela City</v>
          </cell>
        </row>
        <row r="417">
          <cell r="BS417" t="str">
            <v>Industrial</v>
          </cell>
          <cell r="BT417" t="str">
            <v>Structure Owner</v>
          </cell>
        </row>
        <row r="417">
          <cell r="VV417" t="str">
            <v>legal 414</v>
          </cell>
        </row>
        <row r="418">
          <cell r="A418" t="str">
            <v>legal</v>
          </cell>
        </row>
        <row r="418">
          <cell r="C418" t="str">
            <v>CA-001</v>
          </cell>
        </row>
        <row r="418">
          <cell r="E418" t="str">
            <v>C.Apostol St., cor. M.Hizon St., Barangay 9, Caloocan City</v>
          </cell>
        </row>
        <row r="418">
          <cell r="Q418" t="str">
            <v>R</v>
          </cell>
        </row>
        <row r="418">
          <cell r="AS418">
            <v>0.0627065527065527</v>
          </cell>
        </row>
        <row r="418">
          <cell r="BS418" t="str">
            <v>Industrial</v>
          </cell>
          <cell r="BT418" t="str">
            <v>Structure Owner</v>
          </cell>
        </row>
        <row r="418">
          <cell r="JR418" t="str">
            <v>Can stay</v>
          </cell>
        </row>
        <row r="418">
          <cell r="VV418" t="str">
            <v>legal</v>
          </cell>
        </row>
        <row r="419">
          <cell r="A419" t="str">
            <v>legal</v>
          </cell>
        </row>
        <row r="419">
          <cell r="C419" t="str">
            <v>CA-002</v>
          </cell>
        </row>
        <row r="419">
          <cell r="E419" t="str">
            <v>C.Apostol St., cor. M.Hizon St., Barangay 9, Caloocan City</v>
          </cell>
        </row>
        <row r="419">
          <cell r="Q419" t="str">
            <v>R</v>
          </cell>
        </row>
        <row r="419">
          <cell r="AS419">
            <v>0.764568764568765</v>
          </cell>
        </row>
        <row r="419">
          <cell r="BS419" t="str">
            <v>Industrial</v>
          </cell>
          <cell r="BT419" t="str">
            <v>Structure Owner</v>
          </cell>
        </row>
        <row r="419">
          <cell r="VV419" t="str">
            <v>legal</v>
          </cell>
        </row>
        <row r="420">
          <cell r="A420" t="str">
            <v>legal</v>
          </cell>
        </row>
        <row r="420">
          <cell r="C420" t="str">
            <v>CA-003</v>
          </cell>
        </row>
        <row r="420">
          <cell r="E420" t="str">
            <v>C.Apostol St., cor. M.Hizon St., Barangay 9, Caloocan City</v>
          </cell>
        </row>
        <row r="420">
          <cell r="Q420" t="str">
            <v>R</v>
          </cell>
        </row>
        <row r="420">
          <cell r="AS420">
            <v>1</v>
          </cell>
        </row>
        <row r="420">
          <cell r="BS420" t="str">
            <v>Institutional</v>
          </cell>
          <cell r="BT420" t="str">
            <v>Structure Owner</v>
          </cell>
        </row>
        <row r="420">
          <cell r="JR420" t="str">
            <v>Need Displacement</v>
          </cell>
        </row>
        <row r="420">
          <cell r="VV420" t="str">
            <v>legal</v>
          </cell>
        </row>
        <row r="421">
          <cell r="A421" t="str">
            <v>legal</v>
          </cell>
        </row>
        <row r="421">
          <cell r="C421" t="str">
            <v>CA-004</v>
          </cell>
        </row>
        <row r="421">
          <cell r="E421" t="str">
            <v>C.Apostol St., cor. M.Hizon St., Barangay 9, Caloocan City</v>
          </cell>
        </row>
        <row r="421">
          <cell r="Q421" t="str">
            <v>R</v>
          </cell>
        </row>
        <row r="421">
          <cell r="AS421">
            <v>1</v>
          </cell>
        </row>
        <row r="421">
          <cell r="BS421" t="str">
            <v>Institutional</v>
          </cell>
          <cell r="BT421" t="str">
            <v>Structure Owner</v>
          </cell>
        </row>
        <row r="421">
          <cell r="JR421" t="str">
            <v>Need Displacement</v>
          </cell>
        </row>
        <row r="421">
          <cell r="VV421" t="str">
            <v>legal</v>
          </cell>
        </row>
        <row r="422">
          <cell r="A422" t="str">
            <v>legal</v>
          </cell>
        </row>
        <row r="422">
          <cell r="C422" t="str">
            <v>CA-005</v>
          </cell>
        </row>
        <row r="422">
          <cell r="E422" t="str">
            <v>19 P. Burgos St., Barangay 15, Caloocan City</v>
          </cell>
        </row>
        <row r="422">
          <cell r="Q422" t="str">
            <v>R</v>
          </cell>
        </row>
        <row r="422">
          <cell r="AS422">
            <v>0.106666666666667</v>
          </cell>
        </row>
        <row r="422">
          <cell r="BS422" t="str">
            <v>Institutional</v>
          </cell>
          <cell r="BT422" t="str">
            <v>Institutional Occupant</v>
          </cell>
        </row>
        <row r="422">
          <cell r="JR422" t="str">
            <v>Can stay</v>
          </cell>
        </row>
        <row r="422">
          <cell r="VV422" t="str">
            <v>legal</v>
          </cell>
        </row>
        <row r="423">
          <cell r="A423" t="str">
            <v>isf</v>
          </cell>
        </row>
        <row r="423">
          <cell r="C423" t="str">
            <v>CA-006</v>
          </cell>
        </row>
        <row r="423">
          <cell r="E423" t="str">
            <v>0197 P. Burgos St., Barangay 15, Caloocan City</v>
          </cell>
        </row>
        <row r="423">
          <cell r="Q423" t="str">
            <v>R</v>
          </cell>
        </row>
        <row r="423">
          <cell r="T423" t="str">
            <v>Salazar, Alberto</v>
          </cell>
        </row>
        <row r="423">
          <cell r="AS423">
            <v>1</v>
          </cell>
        </row>
        <row r="423">
          <cell r="BS423" t="str">
            <v>Mixed use</v>
          </cell>
          <cell r="BT423" t="str">
            <v>Structure Owner</v>
          </cell>
        </row>
        <row r="423">
          <cell r="JR423" t="str">
            <v>Need Displacement</v>
          </cell>
        </row>
        <row r="423">
          <cell r="KI423" t="str">
            <v>Cash Compensation/ Balik Probinsiya Program</v>
          </cell>
        </row>
        <row r="424">
          <cell r="A424" t="str">
            <v>isf 423</v>
          </cell>
        </row>
        <row r="424">
          <cell r="C424" t="str">
            <v>CA-006</v>
          </cell>
        </row>
        <row r="424">
          <cell r="E424" t="str">
            <v>0197 P. Burgos St., Barangay 15, Caloocan City</v>
          </cell>
        </row>
        <row r="424">
          <cell r="T424" t="str">
            <v>Gaces, Katherine Mary Balanueg</v>
          </cell>
        </row>
        <row r="424">
          <cell r="BS424" t="str">
            <v>Mixed use</v>
          </cell>
          <cell r="BT424" t="str">
            <v>Commercial Tenant</v>
          </cell>
        </row>
        <row r="424">
          <cell r="JR424" t="str">
            <v>Need Displacement</v>
          </cell>
        </row>
        <row r="424">
          <cell r="VV424" t="str">
            <v>isf 423</v>
          </cell>
        </row>
        <row r="425">
          <cell r="A425" t="str">
            <v>isf</v>
          </cell>
        </row>
        <row r="425">
          <cell r="C425" t="str">
            <v>CA-007</v>
          </cell>
        </row>
        <row r="425">
          <cell r="E425" t="str">
            <v>14 P. Burgos St., 10th Ave., Daang Bakal, Barangay 15, Caloocan City</v>
          </cell>
        </row>
        <row r="425">
          <cell r="Q425" t="str">
            <v>R</v>
          </cell>
        </row>
        <row r="425">
          <cell r="T425" t="str">
            <v>Archimedes Brazil (CBL)</v>
          </cell>
        </row>
        <row r="425">
          <cell r="AS425">
            <v>0.748620961386919</v>
          </cell>
        </row>
        <row r="425">
          <cell r="BS425" t="str">
            <v>Residential</v>
          </cell>
          <cell r="BT425" t="str">
            <v>Structure Owner</v>
          </cell>
        </row>
        <row r="425">
          <cell r="JR425" t="str">
            <v>Need Displacement</v>
          </cell>
        </row>
        <row r="425">
          <cell r="KI425" t="str">
            <v>No Answer</v>
          </cell>
        </row>
        <row r="426">
          <cell r="A426" t="str">
            <v>isf-r-425</v>
          </cell>
        </row>
        <row r="426">
          <cell r="C426" t="str">
            <v>CA-007</v>
          </cell>
        </row>
        <row r="426">
          <cell r="E426" t="str">
            <v>14 P. Burgos St., 10th Ave., Daang Bakal, Barangay 15, Caloocan City</v>
          </cell>
        </row>
        <row r="426">
          <cell r="T426" t="str">
            <v>Aguildo, Aurora</v>
          </cell>
        </row>
        <row r="426">
          <cell r="BS426" t="str">
            <v>Residential</v>
          </cell>
          <cell r="BT426" t="str">
            <v>Structure Renter</v>
          </cell>
        </row>
        <row r="426">
          <cell r="JP426">
            <v>800</v>
          </cell>
        </row>
        <row r="426">
          <cell r="JR426" t="str">
            <v>Need Displacement</v>
          </cell>
        </row>
        <row r="427">
          <cell r="A427" t="str">
            <v>isf</v>
          </cell>
        </row>
        <row r="427">
          <cell r="C427" t="str">
            <v>CA-008</v>
          </cell>
        </row>
        <row r="427">
          <cell r="E427" t="str">
            <v>10th Ave., Daang Bakal, Barangay 15, Caloocan City</v>
          </cell>
        </row>
        <row r="427">
          <cell r="Q427" t="str">
            <v>R</v>
          </cell>
        </row>
        <row r="427">
          <cell r="T427" t="str">
            <v>Chavez, Jessie</v>
          </cell>
        </row>
        <row r="427">
          <cell r="AS427">
            <v>1</v>
          </cell>
        </row>
        <row r="427">
          <cell r="BS427" t="str">
            <v>Residential</v>
          </cell>
          <cell r="BT427" t="str">
            <v>Structure Owner</v>
          </cell>
        </row>
        <row r="427">
          <cell r="JR427" t="str">
            <v>Need Displacement</v>
          </cell>
        </row>
        <row r="427">
          <cell r="KI427" t="str">
            <v>Relocation</v>
          </cell>
          <cell r="KJ427" t="str">
            <v>Bulacan</v>
          </cell>
        </row>
        <row r="427">
          <cell r="KL427" t="str">
            <v>Pandi Residences (Brgy. Mapulang Lupa, Pandi, Bulacan)</v>
          </cell>
        </row>
        <row r="427">
          <cell r="KW427" t="str">
            <v>Near Relatives</v>
          </cell>
          <cell r="KX427" t="str">
            <v>Y</v>
          </cell>
        </row>
        <row r="427">
          <cell r="KZ427" t="str">
            <v>x</v>
          </cell>
          <cell r="LA427" t="str">
            <v>x</v>
          </cell>
          <cell r="LB427" t="str">
            <v>x</v>
          </cell>
          <cell r="LC427" t="str">
            <v>x</v>
          </cell>
        </row>
        <row r="427">
          <cell r="LE427" t="str">
            <v>x</v>
          </cell>
          <cell r="LF427" t="str">
            <v>x</v>
          </cell>
        </row>
        <row r="428">
          <cell r="A428" t="str">
            <v>isf</v>
          </cell>
        </row>
        <row r="428">
          <cell r="C428" t="str">
            <v>CA-009</v>
          </cell>
        </row>
        <row r="428">
          <cell r="E428" t="str">
            <v>198 P. Burgos St., 10th Ave., Daang Bakal, Barangay 15, Caloocan City</v>
          </cell>
        </row>
        <row r="428">
          <cell r="Q428" t="str">
            <v>R</v>
          </cell>
        </row>
        <row r="428">
          <cell r="T428" t="str">
            <v>Kosca, John Ray</v>
          </cell>
        </row>
        <row r="428">
          <cell r="AS428">
            <v>0.929688013136289</v>
          </cell>
        </row>
        <row r="428">
          <cell r="BS428" t="str">
            <v>Residential</v>
          </cell>
          <cell r="BT428" t="str">
            <v>Structure Owner</v>
          </cell>
        </row>
        <row r="428">
          <cell r="JR428" t="str">
            <v>Need Displacement</v>
          </cell>
        </row>
        <row r="428">
          <cell r="KI428" t="str">
            <v>Relocation</v>
          </cell>
          <cell r="KJ428" t="str">
            <v>In City</v>
          </cell>
        </row>
        <row r="428">
          <cell r="KL428" t="str">
            <v>Disiplina Village (Brgy Bignay, Valenzuela City)</v>
          </cell>
        </row>
        <row r="428">
          <cell r="KR428" t="str">
            <v>x</v>
          </cell>
          <cell r="KS428" t="str">
            <v>x</v>
          </cell>
          <cell r="KT428" t="str">
            <v>x</v>
          </cell>
          <cell r="KU428" t="str">
            <v>x</v>
          </cell>
        </row>
        <row r="428">
          <cell r="KX428" t="str">
            <v>Y</v>
          </cell>
        </row>
        <row r="428">
          <cell r="KZ428" t="str">
            <v>x</v>
          </cell>
          <cell r="LA428" t="str">
            <v>x</v>
          </cell>
        </row>
        <row r="428">
          <cell r="LC428" t="str">
            <v>x</v>
          </cell>
          <cell r="LD428" t="str">
            <v>x</v>
          </cell>
          <cell r="LE428" t="str">
            <v>x</v>
          </cell>
          <cell r="LF428" t="str">
            <v>x</v>
          </cell>
        </row>
        <row r="429">
          <cell r="A429" t="str">
            <v>isf-sh-428</v>
          </cell>
        </row>
        <row r="429">
          <cell r="C429" t="str">
            <v>CA-009</v>
          </cell>
        </row>
        <row r="429">
          <cell r="E429" t="str">
            <v>198 P. Burgos St., 10th Ave., Daang Bakal, Barangay 15, Caloocan City</v>
          </cell>
        </row>
        <row r="429">
          <cell r="T429" t="str">
            <v>Saballero, Jessa Solainne</v>
          </cell>
        </row>
        <row r="429">
          <cell r="BS429" t="str">
            <v>Residential</v>
          </cell>
          <cell r="BT429" t="str">
            <v>Sharer</v>
          </cell>
        </row>
        <row r="429">
          <cell r="JP429">
            <v>900</v>
          </cell>
        </row>
        <row r="429">
          <cell r="JR429" t="str">
            <v>Need Displacement</v>
          </cell>
        </row>
        <row r="429">
          <cell r="KI429" t="str">
            <v>Relocation</v>
          </cell>
          <cell r="KJ429" t="str">
            <v>In City</v>
          </cell>
        </row>
        <row r="429">
          <cell r="KL429" t="str">
            <v>Disiplina Village (Brgy Bignay, Valenzuela City)</v>
          </cell>
        </row>
        <row r="429">
          <cell r="KR429" t="str">
            <v>x</v>
          </cell>
        </row>
        <row r="429">
          <cell r="KX429" t="str">
            <v>Y</v>
          </cell>
        </row>
        <row r="429">
          <cell r="KZ429" t="str">
            <v>x</v>
          </cell>
        </row>
        <row r="429">
          <cell r="LC429" t="str">
            <v>x</v>
          </cell>
        </row>
        <row r="429">
          <cell r="LE429" t="str">
            <v>x</v>
          </cell>
        </row>
        <row r="430">
          <cell r="A430" t="str">
            <v>isf</v>
          </cell>
        </row>
        <row r="430">
          <cell r="C430" t="str">
            <v>CA-010</v>
          </cell>
        </row>
        <row r="430">
          <cell r="E430" t="str">
            <v>198 P. Burgos St., 10th Ave., Daang Bakal, Barangay 15, Caloocan City</v>
          </cell>
        </row>
        <row r="430">
          <cell r="Q430" t="str">
            <v>R</v>
          </cell>
        </row>
        <row r="430">
          <cell r="T430" t="str">
            <v>Badal, Roberto</v>
          </cell>
        </row>
        <row r="430">
          <cell r="AS430">
            <v>0.728358208955224</v>
          </cell>
        </row>
        <row r="430">
          <cell r="BS430" t="str">
            <v>Residential</v>
          </cell>
          <cell r="BT430" t="str">
            <v>Structure Owner</v>
          </cell>
        </row>
        <row r="430">
          <cell r="JR430" t="str">
            <v>Need Displacement</v>
          </cell>
        </row>
        <row r="430">
          <cell r="KG430">
            <v>500</v>
          </cell>
        </row>
        <row r="430">
          <cell r="KI430" t="str">
            <v>Cash Compensation/ Balik Probinsiya Program</v>
          </cell>
        </row>
        <row r="431">
          <cell r="A431" t="str">
            <v>isf-r-430</v>
          </cell>
        </row>
        <row r="431">
          <cell r="C431" t="str">
            <v>CA-010</v>
          </cell>
        </row>
        <row r="431">
          <cell r="E431" t="str">
            <v>198 P. Burgos St., 10th Ave., Daang Bakal, Barangay 15, Caloocan City</v>
          </cell>
        </row>
        <row r="431">
          <cell r="T431" t="str">
            <v>Badal, Manuel</v>
          </cell>
        </row>
        <row r="431">
          <cell r="BS431" t="str">
            <v>Residential</v>
          </cell>
          <cell r="BT431" t="str">
            <v>Structure Renter</v>
          </cell>
        </row>
        <row r="431">
          <cell r="JR431" t="str">
            <v>Need Displacement</v>
          </cell>
        </row>
        <row r="432">
          <cell r="A432" t="str">
            <v>isf-r-430</v>
          </cell>
        </row>
        <row r="432">
          <cell r="C432" t="str">
            <v>CA-010</v>
          </cell>
        </row>
        <row r="432">
          <cell r="E432" t="str">
            <v>198 P. Burgos St., 10th Ave., Daang Bakal, Barangay 15, Caloocan City</v>
          </cell>
        </row>
        <row r="432">
          <cell r="T432" t="str">
            <v>Mercado, Rose</v>
          </cell>
        </row>
        <row r="432">
          <cell r="BS432" t="str">
            <v>Residential</v>
          </cell>
          <cell r="BT432" t="str">
            <v>Structure Renter</v>
          </cell>
        </row>
        <row r="432">
          <cell r="JR432" t="str">
            <v>Need Displacement</v>
          </cell>
        </row>
        <row r="432">
          <cell r="KI432" t="str">
            <v>Relocation</v>
          </cell>
          <cell r="KJ432" t="str">
            <v>Bulacan</v>
          </cell>
        </row>
        <row r="432">
          <cell r="KL432" t="str">
            <v>Disiplina Village (Brgy Bignay, Valenzuela City)</v>
          </cell>
        </row>
        <row r="432">
          <cell r="KX432" t="str">
            <v>Y</v>
          </cell>
        </row>
        <row r="432">
          <cell r="KZ432" t="str">
            <v>x</v>
          </cell>
          <cell r="LA432" t="str">
            <v>x</v>
          </cell>
          <cell r="LB432" t="str">
            <v>x</v>
          </cell>
          <cell r="LC432" t="str">
            <v>x</v>
          </cell>
          <cell r="LD432" t="str">
            <v>x</v>
          </cell>
          <cell r="LE432" t="str">
            <v>x</v>
          </cell>
          <cell r="LF432" t="str">
            <v>x</v>
          </cell>
        </row>
        <row r="433">
          <cell r="A433" t="str">
            <v>isf-r-430</v>
          </cell>
        </row>
        <row r="433">
          <cell r="C433" t="str">
            <v>CA-010</v>
          </cell>
        </row>
        <row r="433">
          <cell r="E433" t="str">
            <v>198 P. Burgos St., 10th Ave., Daang Bakal, Barangay 15, Caloocan City</v>
          </cell>
        </row>
        <row r="433">
          <cell r="T433" t="str">
            <v>Badal, Imelda Mahilom</v>
          </cell>
        </row>
        <row r="433">
          <cell r="BS433" t="str">
            <v>Residential</v>
          </cell>
          <cell r="BT433" t="str">
            <v>Structure Renter</v>
          </cell>
        </row>
        <row r="433">
          <cell r="JR433" t="str">
            <v>Need Displacement</v>
          </cell>
        </row>
        <row r="434">
          <cell r="A434" t="str">
            <v>isf-r-430</v>
          </cell>
        </row>
        <row r="434">
          <cell r="C434" t="str">
            <v>CA-010</v>
          </cell>
        </row>
        <row r="434">
          <cell r="E434" t="str">
            <v>198 P. Burgos St., 10th Ave., Daang Bakal, Barangay 15, Caloocan City</v>
          </cell>
        </row>
        <row r="434">
          <cell r="T434" t="str">
            <v>Badal, Antonio</v>
          </cell>
        </row>
        <row r="434">
          <cell r="BS434" t="str">
            <v>Residential</v>
          </cell>
          <cell r="BT434" t="str">
            <v>Structure Renter</v>
          </cell>
        </row>
        <row r="434">
          <cell r="JR434" t="str">
            <v>Need Displacement</v>
          </cell>
        </row>
        <row r="435">
          <cell r="A435" t="str">
            <v>isf</v>
          </cell>
        </row>
        <row r="435">
          <cell r="C435" t="str">
            <v>CA-011</v>
          </cell>
        </row>
        <row r="435">
          <cell r="E435" t="str">
            <v>200 P. Burgos St., 10th Ave., Daang Bakal, Barangay 15, Caloocan City</v>
          </cell>
        </row>
        <row r="435">
          <cell r="Q435" t="str">
            <v>R</v>
          </cell>
        </row>
        <row r="435">
          <cell r="T435" t="str">
            <v>Emma De Paz</v>
          </cell>
        </row>
        <row r="435">
          <cell r="AS435">
            <v>0.62280701754386</v>
          </cell>
        </row>
        <row r="435">
          <cell r="BS435" t="str">
            <v>Mixed use</v>
          </cell>
          <cell r="BT435" t="str">
            <v>Structure Owner</v>
          </cell>
        </row>
        <row r="435">
          <cell r="JR435" t="str">
            <v>Need Displacement</v>
          </cell>
        </row>
        <row r="435">
          <cell r="KI435" t="str">
            <v>Relocation</v>
          </cell>
          <cell r="KJ435" t="str">
            <v>In City</v>
          </cell>
        </row>
        <row r="435">
          <cell r="KL435" t="str">
            <v>Disiplina Village (Brgy Bignay, Valenzuela City)</v>
          </cell>
        </row>
        <row r="435">
          <cell r="KS435" t="str">
            <v>x</v>
          </cell>
        </row>
        <row r="435">
          <cell r="KX435" t="str">
            <v>Y</v>
          </cell>
        </row>
        <row r="435">
          <cell r="KZ435" t="str">
            <v>x</v>
          </cell>
          <cell r="LA435" t="str">
            <v>x</v>
          </cell>
          <cell r="LB435" t="str">
            <v>x</v>
          </cell>
          <cell r="LC435" t="str">
            <v>x</v>
          </cell>
          <cell r="LD435" t="str">
            <v>x</v>
          </cell>
        </row>
        <row r="435">
          <cell r="LF435" t="str">
            <v>x</v>
          </cell>
        </row>
        <row r="436">
          <cell r="A436" t="str">
            <v>isf-r-435</v>
          </cell>
        </row>
        <row r="436">
          <cell r="C436" t="str">
            <v>CA-011</v>
          </cell>
        </row>
        <row r="436">
          <cell r="E436" t="str">
            <v>200 P. Burgos St., 10th Ave., Daang Bakal, Barangay 15, Caloocan City</v>
          </cell>
        </row>
        <row r="436">
          <cell r="T436" t="str">
            <v>De Paz, Aileen</v>
          </cell>
        </row>
        <row r="436">
          <cell r="BS436" t="str">
            <v>Mixed use</v>
          </cell>
          <cell r="BT436" t="str">
            <v>Sharer</v>
          </cell>
        </row>
        <row r="436">
          <cell r="JP436">
            <v>4500</v>
          </cell>
        </row>
        <row r="436">
          <cell r="JR436" t="str">
            <v>Need Displacement</v>
          </cell>
        </row>
        <row r="436">
          <cell r="KI436" t="str">
            <v>Relocation</v>
          </cell>
          <cell r="KJ436" t="str">
            <v>In City</v>
          </cell>
        </row>
        <row r="436">
          <cell r="KS436" t="str">
            <v>x</v>
          </cell>
          <cell r="KT436" t="str">
            <v>x</v>
          </cell>
          <cell r="KU436" t="str">
            <v>x</v>
          </cell>
        </row>
        <row r="436">
          <cell r="KX436" t="str">
            <v>Y</v>
          </cell>
        </row>
        <row r="436">
          <cell r="LE436" t="str">
            <v>x</v>
          </cell>
        </row>
        <row r="437">
          <cell r="A437" t="str">
            <v>isf</v>
          </cell>
        </row>
        <row r="437">
          <cell r="C437" t="str">
            <v>CA-012</v>
          </cell>
        </row>
        <row r="437">
          <cell r="E437" t="str">
            <v>201 P. Burgos St., 10th Ave., Daang Bakal, Barangay 15, Caloocan City</v>
          </cell>
        </row>
        <row r="437">
          <cell r="Q437" t="str">
            <v>R</v>
          </cell>
        </row>
        <row r="437">
          <cell r="T437" t="str">
            <v>Dela Cruz, Ricardo</v>
          </cell>
        </row>
        <row r="437">
          <cell r="AS437">
            <v>0.825860069578663</v>
          </cell>
        </row>
        <row r="437">
          <cell r="BS437" t="str">
            <v>Mixed use</v>
          </cell>
          <cell r="BT437" t="str">
            <v>Structure Owner</v>
          </cell>
        </row>
        <row r="437">
          <cell r="JR437" t="str">
            <v>Need Displacement</v>
          </cell>
        </row>
        <row r="437">
          <cell r="KI437" t="str">
            <v>Cash Compensation/ Balik Probinsiya Program</v>
          </cell>
        </row>
        <row r="438">
          <cell r="A438" t="str">
            <v>isf</v>
          </cell>
        </row>
        <row r="438">
          <cell r="C438" t="str">
            <v>CA-013</v>
          </cell>
        </row>
        <row r="438">
          <cell r="E438" t="str">
            <v>203 P. Burgos St., 10th Ave., Daang Bakal, Barangay 15, Caloocan City</v>
          </cell>
        </row>
        <row r="438">
          <cell r="Q438" t="str">
            <v>L</v>
          </cell>
        </row>
        <row r="438">
          <cell r="T438" t="str">
            <v>Bucsit, Rosavilinda</v>
          </cell>
        </row>
        <row r="438">
          <cell r="AS438">
            <v>0.754892823858341</v>
          </cell>
        </row>
        <row r="438">
          <cell r="BS438" t="str">
            <v>Residential</v>
          </cell>
          <cell r="BT438" t="str">
            <v>Structure Owner</v>
          </cell>
        </row>
        <row r="438">
          <cell r="JR438" t="str">
            <v>Need Displacement</v>
          </cell>
        </row>
        <row r="438">
          <cell r="KI438" t="str">
            <v>Relocation</v>
          </cell>
          <cell r="KJ438" t="str">
            <v>Cavite</v>
          </cell>
        </row>
        <row r="438">
          <cell r="KL438" t="str">
            <v>Cavite</v>
          </cell>
        </row>
        <row r="438">
          <cell r="KR438" t="str">
            <v>x</v>
          </cell>
          <cell r="KS438" t="str">
            <v>x</v>
          </cell>
          <cell r="KT438" t="str">
            <v>x</v>
          </cell>
          <cell r="KU438" t="str">
            <v>x</v>
          </cell>
        </row>
        <row r="438">
          <cell r="KX438" t="str">
            <v>Y</v>
          </cell>
        </row>
        <row r="438">
          <cell r="KZ438" t="str">
            <v>x</v>
          </cell>
          <cell r="LA438" t="str">
            <v>x</v>
          </cell>
          <cell r="LB438" t="str">
            <v>x</v>
          </cell>
          <cell r="LC438" t="str">
            <v>x</v>
          </cell>
          <cell r="LD438" t="str">
            <v>x</v>
          </cell>
          <cell r="LE438" t="str">
            <v>x</v>
          </cell>
          <cell r="LF438" t="str">
            <v>x</v>
          </cell>
        </row>
        <row r="439">
          <cell r="A439" t="str">
            <v>isf-r-438</v>
          </cell>
        </row>
        <row r="439">
          <cell r="C439" t="str">
            <v>CA-013</v>
          </cell>
        </row>
        <row r="439">
          <cell r="E439" t="str">
            <v>203 P. Burgos St., 10th Ave., Daang Bakal, Barangay 15, Caloocan City</v>
          </cell>
        </row>
        <row r="439">
          <cell r="T439" t="str">
            <v>Natividad, Mar</v>
          </cell>
        </row>
        <row r="439">
          <cell r="BS439" t="str">
            <v>Residential</v>
          </cell>
          <cell r="BT439" t="str">
            <v>Structure Renter</v>
          </cell>
        </row>
        <row r="439">
          <cell r="JP439">
            <v>300</v>
          </cell>
        </row>
        <row r="439">
          <cell r="JR439" t="str">
            <v>Need Displacement</v>
          </cell>
        </row>
        <row r="440">
          <cell r="A440" t="str">
            <v>isf</v>
          </cell>
        </row>
        <row r="440">
          <cell r="C440" t="str">
            <v>CA-014</v>
          </cell>
        </row>
        <row r="440">
          <cell r="E440" t="str">
            <v>203 P. Burgos St., 10th Ave., Daang Bakal, Barangay 15, Caloocan City</v>
          </cell>
        </row>
        <row r="440">
          <cell r="Q440" t="str">
            <v>L</v>
          </cell>
        </row>
        <row r="440">
          <cell r="T440" t="str">
            <v>Salazar, Louisse Franz (ND)</v>
          </cell>
        </row>
        <row r="440">
          <cell r="AS440">
            <v>0.49562302104675</v>
          </cell>
        </row>
        <row r="440">
          <cell r="BS440" t="str">
            <v>Residential</v>
          </cell>
          <cell r="BT440" t="str">
            <v>Structure Owner</v>
          </cell>
        </row>
        <row r="440">
          <cell r="JR440" t="str">
            <v>Need Displacement</v>
          </cell>
        </row>
        <row r="440">
          <cell r="KI440" t="str">
            <v>Non dwelling structure</v>
          </cell>
        </row>
        <row r="441">
          <cell r="A441" t="str">
            <v>isf</v>
          </cell>
        </row>
        <row r="441">
          <cell r="C441" t="str">
            <v>CA-015</v>
          </cell>
        </row>
        <row r="441">
          <cell r="E441" t="str">
            <v>203 P. Burgos St., 10th Ave., Daang Bakal, Barangay 15, Caloocan City</v>
          </cell>
        </row>
        <row r="441">
          <cell r="Q441" t="str">
            <v>L</v>
          </cell>
        </row>
        <row r="441">
          <cell r="T441" t="str">
            <v>Resurrecion, Maria Evelyn</v>
          </cell>
        </row>
        <row r="441">
          <cell r="AS441">
            <v>0.596197228488559</v>
          </cell>
        </row>
        <row r="441">
          <cell r="BS441" t="str">
            <v>Residential</v>
          </cell>
          <cell r="BT441" t="str">
            <v>Structure Owner</v>
          </cell>
        </row>
        <row r="441">
          <cell r="JR441" t="str">
            <v>Need Displacement</v>
          </cell>
        </row>
        <row r="441">
          <cell r="KI441" t="str">
            <v>Relocation</v>
          </cell>
        </row>
        <row r="441">
          <cell r="KL441" t="str">
            <v>Disiplina Village (Brgy Bignay, Valenzuela City)</v>
          </cell>
        </row>
        <row r="441">
          <cell r="KQ441" t="str">
            <v>x</v>
          </cell>
        </row>
        <row r="441">
          <cell r="KX441" t="str">
            <v>Y</v>
          </cell>
        </row>
        <row r="441">
          <cell r="KZ441" t="str">
            <v>x</v>
          </cell>
          <cell r="LA441" t="str">
            <v>x</v>
          </cell>
          <cell r="LB441" t="str">
            <v>x</v>
          </cell>
          <cell r="LC441" t="str">
            <v>x</v>
          </cell>
        </row>
        <row r="441">
          <cell r="LF441" t="str">
            <v>x</v>
          </cell>
        </row>
        <row r="442">
          <cell r="A442" t="str">
            <v>isf</v>
          </cell>
        </row>
        <row r="442">
          <cell r="C442" t="str">
            <v>CA-016</v>
          </cell>
        </row>
        <row r="442">
          <cell r="E442" t="str">
            <v>14 P. Burgos St., 10th Ave., Daang Bakal, Barangay 15, Caloocan City</v>
          </cell>
        </row>
        <row r="442">
          <cell r="T442" t="str">
            <v>Astibe, Osmundo</v>
          </cell>
        </row>
        <row r="442">
          <cell r="AS442">
            <v>0.635555555555556</v>
          </cell>
        </row>
        <row r="442">
          <cell r="BS442" t="str">
            <v>Residential</v>
          </cell>
          <cell r="BT442" t="str">
            <v>Structure Owner</v>
          </cell>
        </row>
        <row r="442">
          <cell r="JR442" t="str">
            <v>Need Displacement</v>
          </cell>
        </row>
        <row r="442">
          <cell r="KI442" t="str">
            <v>Cash Compensation/ Balik Probinsiya Program</v>
          </cell>
        </row>
        <row r="443">
          <cell r="A443" t="str">
            <v>isf</v>
          </cell>
        </row>
        <row r="443">
          <cell r="C443" t="str">
            <v>CA-017</v>
          </cell>
        </row>
        <row r="443">
          <cell r="E443" t="str">
            <v>172 P. Burgos St., 10th Ave., Daang Bakal, Barangay 15, Caloocan City</v>
          </cell>
        </row>
        <row r="443">
          <cell r="Q443" t="str">
            <v>L</v>
          </cell>
        </row>
        <row r="443">
          <cell r="T443" t="str">
            <v>Arias, Reynaldo</v>
          </cell>
        </row>
        <row r="443">
          <cell r="AS443">
            <v>0.379746835443038</v>
          </cell>
        </row>
        <row r="443">
          <cell r="BS443" t="str">
            <v>Residential</v>
          </cell>
          <cell r="BT443" t="str">
            <v>Structure Owner</v>
          </cell>
        </row>
        <row r="443">
          <cell r="JR443" t="str">
            <v>Can Stay</v>
          </cell>
        </row>
        <row r="443">
          <cell r="KI443" t="str">
            <v>Cash Compensation</v>
          </cell>
        </row>
        <row r="444">
          <cell r="A444" t="str">
            <v>isf</v>
          </cell>
        </row>
        <row r="444">
          <cell r="C444" t="str">
            <v>CA-018</v>
          </cell>
        </row>
        <row r="444">
          <cell r="E444" t="str">
            <v>211 P. Burgos St., 10th Ave., Daang Bakal, Barangay 15, Caloocan City</v>
          </cell>
        </row>
        <row r="444">
          <cell r="Q444" t="str">
            <v>L</v>
          </cell>
        </row>
        <row r="444">
          <cell r="T444" t="str">
            <v>Saluta, Romeo</v>
          </cell>
        </row>
        <row r="444">
          <cell r="AS444">
            <v>0.379746835443038</v>
          </cell>
        </row>
        <row r="444">
          <cell r="BS444" t="str">
            <v>Residential</v>
          </cell>
          <cell r="BT444" t="str">
            <v>Structure Owner</v>
          </cell>
        </row>
        <row r="444">
          <cell r="JR444" t="str">
            <v>Need Displacement</v>
          </cell>
        </row>
        <row r="444">
          <cell r="KI444" t="str">
            <v>Cash Compensation/ Balik Probinsiya Program</v>
          </cell>
        </row>
        <row r="445">
          <cell r="A445" t="str">
            <v>isf-co-444</v>
          </cell>
        </row>
        <row r="445">
          <cell r="C445" t="str">
            <v>CA-018</v>
          </cell>
        </row>
        <row r="445">
          <cell r="E445" t="str">
            <v>211 P. Burgos St., 10th Ave., Daang Bakal, Barangay 15, Caloocan City</v>
          </cell>
        </row>
        <row r="445">
          <cell r="T445" t="str">
            <v>Saluta, Jerome</v>
          </cell>
        </row>
        <row r="445">
          <cell r="BS445" t="str">
            <v>Residential</v>
          </cell>
          <cell r="BT445" t="str">
            <v>Co-Owner</v>
          </cell>
        </row>
        <row r="445">
          <cell r="JP445">
            <v>1000</v>
          </cell>
        </row>
        <row r="445">
          <cell r="JR445" t="str">
            <v>Need Displacement</v>
          </cell>
        </row>
        <row r="445">
          <cell r="KI445" t="str">
            <v>Relocation</v>
          </cell>
          <cell r="KJ445" t="str">
            <v>Bulacan</v>
          </cell>
        </row>
        <row r="445">
          <cell r="KL445" t="str">
            <v>Disiplina Village (Brgy Bignay, Valenzuela City)</v>
          </cell>
        </row>
        <row r="445">
          <cell r="KR445" t="str">
            <v>x</v>
          </cell>
          <cell r="KS445" t="str">
            <v>x</v>
          </cell>
          <cell r="KT445" t="str">
            <v>x</v>
          </cell>
          <cell r="KU445" t="str">
            <v>x</v>
          </cell>
        </row>
        <row r="445">
          <cell r="KX445" t="str">
            <v>Y</v>
          </cell>
        </row>
        <row r="445">
          <cell r="KZ445" t="str">
            <v>x</v>
          </cell>
          <cell r="LA445" t="str">
            <v>x</v>
          </cell>
          <cell r="LB445" t="str">
            <v>x</v>
          </cell>
          <cell r="LC445" t="str">
            <v>x</v>
          </cell>
          <cell r="LD445" t="str">
            <v>x</v>
          </cell>
          <cell r="LE445" t="str">
            <v>x</v>
          </cell>
          <cell r="LF445" t="str">
            <v>x</v>
          </cell>
        </row>
        <row r="446">
          <cell r="A446" t="str">
            <v>isf-r</v>
          </cell>
        </row>
        <row r="446">
          <cell r="C446" t="str">
            <v>CA-019</v>
          </cell>
        </row>
        <row r="446">
          <cell r="E446" t="str">
            <v>134 P. Burgos St., 10th Ave., Daang Bakal, Barangay 15, Caloocan City</v>
          </cell>
        </row>
        <row r="446">
          <cell r="Q446" t="str">
            <v>L</v>
          </cell>
        </row>
        <row r="446">
          <cell r="T446" t="str">
            <v>Dalistan, Rodelio</v>
          </cell>
        </row>
        <row r="446">
          <cell r="BS446" t="str">
            <v>Residential</v>
          </cell>
          <cell r="BT446" t="str">
            <v>Structure Owner</v>
          </cell>
        </row>
        <row r="446">
          <cell r="JR446" t="str">
            <v>Need Displacement</v>
          </cell>
        </row>
        <row r="446">
          <cell r="KI446" t="str">
            <v>Cash Compensation/ Balik Probinsiya Program</v>
          </cell>
        </row>
        <row r="447">
          <cell r="A447" t="str">
            <v>isf</v>
          </cell>
        </row>
        <row r="447">
          <cell r="C447" t="str">
            <v>CA-020</v>
          </cell>
        </row>
        <row r="447">
          <cell r="E447" t="str">
            <v>100 F. Sanchez St., Barangay 15 Caloocan City</v>
          </cell>
        </row>
        <row r="447">
          <cell r="Q447" t="str">
            <v>R</v>
          </cell>
        </row>
        <row r="447">
          <cell r="T447" t="str">
            <v>Fajardo, Anthony</v>
          </cell>
        </row>
        <row r="447">
          <cell r="AS447">
            <v>0.799945246731914</v>
          </cell>
        </row>
        <row r="447">
          <cell r="BS447" t="str">
            <v>Residential</v>
          </cell>
          <cell r="BT447" t="str">
            <v>Structure Owner</v>
          </cell>
        </row>
        <row r="447">
          <cell r="JR447" t="str">
            <v>Need Displacement</v>
          </cell>
        </row>
        <row r="447">
          <cell r="KI447" t="str">
            <v>Relocation</v>
          </cell>
          <cell r="KJ447" t="str">
            <v>In City</v>
          </cell>
        </row>
        <row r="447">
          <cell r="KL447" t="str">
            <v>Cavite</v>
          </cell>
        </row>
        <row r="447">
          <cell r="KS447" t="str">
            <v>x</v>
          </cell>
        </row>
        <row r="447">
          <cell r="KX447" t="str">
            <v>Y</v>
          </cell>
        </row>
        <row r="447">
          <cell r="KZ447" t="str">
            <v>x</v>
          </cell>
          <cell r="LA447" t="str">
            <v>x</v>
          </cell>
        </row>
        <row r="447">
          <cell r="LD447" t="str">
            <v>x</v>
          </cell>
        </row>
        <row r="447">
          <cell r="LF447" t="str">
            <v>x</v>
          </cell>
        </row>
        <row r="448">
          <cell r="A448" t="str">
            <v>isf</v>
          </cell>
        </row>
        <row r="448">
          <cell r="C448" t="str">
            <v>CA-021</v>
          </cell>
        </row>
        <row r="448">
          <cell r="E448" t="str">
            <v>211 P. Burgos St., 10th Ave., Daang Bakal, Barangay 15, Caloocan City</v>
          </cell>
        </row>
        <row r="448">
          <cell r="Q448" t="str">
            <v>R</v>
          </cell>
        </row>
        <row r="448">
          <cell r="T448" t="str">
            <v>Romeo Saluta</v>
          </cell>
        </row>
        <row r="448">
          <cell r="AS448">
            <v>1</v>
          </cell>
        </row>
        <row r="448">
          <cell r="BS448" t="str">
            <v>Commercial</v>
          </cell>
          <cell r="BT448" t="str">
            <v>Structure Owner</v>
          </cell>
        </row>
        <row r="448">
          <cell r="VV448" t="str">
            <v>isf</v>
          </cell>
        </row>
        <row r="449">
          <cell r="A449" t="str">
            <v>isf 448</v>
          </cell>
        </row>
        <row r="449">
          <cell r="C449" t="str">
            <v>CA-021</v>
          </cell>
        </row>
        <row r="449">
          <cell r="E449" t="str">
            <v>211 P. Burgos St., 10th Ave., Daang Bakal, Barangay 15, Caloocan City</v>
          </cell>
        </row>
        <row r="449">
          <cell r="T449" t="str">
            <v>Hernandez, Gilbert</v>
          </cell>
        </row>
        <row r="449">
          <cell r="BS449" t="str">
            <v>Commercial</v>
          </cell>
          <cell r="BT449" t="str">
            <v>Commercial Tenant</v>
          </cell>
        </row>
        <row r="449">
          <cell r="JR449" t="str">
            <v>Need Displacement</v>
          </cell>
        </row>
        <row r="449">
          <cell r="VV449" t="str">
            <v>isf 448</v>
          </cell>
        </row>
        <row r="450">
          <cell r="A450" t="str">
            <v>isf</v>
          </cell>
        </row>
        <row r="450">
          <cell r="C450" t="str">
            <v>CA-022</v>
          </cell>
        </row>
        <row r="450">
          <cell r="E450" t="str">
            <v>100 F. Sanchez St., Barangay 15 Caloocan City</v>
          </cell>
        </row>
        <row r="450">
          <cell r="Q450" t="str">
            <v>R</v>
          </cell>
        </row>
        <row r="450">
          <cell r="T450" t="str">
            <v>Dimalanta, Edwin</v>
          </cell>
        </row>
        <row r="450">
          <cell r="AS450">
            <v>0.05</v>
          </cell>
        </row>
        <row r="450">
          <cell r="BS450" t="str">
            <v>Residential</v>
          </cell>
          <cell r="BT450" t="str">
            <v>Structure Owner</v>
          </cell>
        </row>
        <row r="450">
          <cell r="JR450" t="str">
            <v>Can Stay</v>
          </cell>
        </row>
        <row r="450">
          <cell r="VV450" t="str">
            <v>isf</v>
          </cell>
        </row>
        <row r="451">
          <cell r="A451" t="str">
            <v>isf</v>
          </cell>
        </row>
        <row r="451">
          <cell r="C451" t="str">
            <v>CA-023</v>
          </cell>
        </row>
        <row r="451">
          <cell r="E451" t="str">
            <v>Daang Bakal, Barangay 17, Caloocan City</v>
          </cell>
        </row>
        <row r="451">
          <cell r="Q451" t="str">
            <v>L</v>
          </cell>
        </row>
        <row r="451">
          <cell r="T451" t="str">
            <v>Cardona, Salvador Alban</v>
          </cell>
        </row>
        <row r="451">
          <cell r="AS451">
            <v>0.496734693877551</v>
          </cell>
        </row>
        <row r="451">
          <cell r="BS451" t="str">
            <v>Residential</v>
          </cell>
          <cell r="BT451" t="str">
            <v>Structure Owner</v>
          </cell>
        </row>
        <row r="451">
          <cell r="VV451" t="str">
            <v>isf</v>
          </cell>
        </row>
        <row r="452">
          <cell r="A452" t="str">
            <v>isf</v>
          </cell>
        </row>
        <row r="452">
          <cell r="C452" t="str">
            <v>CA-024</v>
          </cell>
        </row>
        <row r="452">
          <cell r="E452" t="str">
            <v>59 Acab St., Barangay 17, Caloocan City</v>
          </cell>
        </row>
        <row r="452">
          <cell r="Q452" t="str">
            <v>L</v>
          </cell>
        </row>
        <row r="452">
          <cell r="T452" t="str">
            <v>Oliva, Fannie</v>
          </cell>
        </row>
        <row r="452">
          <cell r="AS452">
            <v>0.6</v>
          </cell>
        </row>
        <row r="452">
          <cell r="BS452" t="str">
            <v>Residential</v>
          </cell>
          <cell r="BT452" t="str">
            <v>Structure Owner</v>
          </cell>
        </row>
        <row r="452">
          <cell r="VV452" t="str">
            <v>isf</v>
          </cell>
        </row>
        <row r="453">
          <cell r="A453" t="str">
            <v>isf</v>
          </cell>
        </row>
        <row r="453">
          <cell r="C453" t="str">
            <v>CA-025</v>
          </cell>
        </row>
        <row r="453">
          <cell r="E453" t="str">
            <v>59 Acab St., Barangay 17, Caloocan City</v>
          </cell>
        </row>
        <row r="453">
          <cell r="Q453" t="str">
            <v>L</v>
          </cell>
        </row>
        <row r="453">
          <cell r="T453" t="str">
            <v>Silva, Nicandro Mendoza</v>
          </cell>
        </row>
        <row r="453">
          <cell r="AS453">
            <v>1</v>
          </cell>
        </row>
        <row r="453">
          <cell r="BS453" t="str">
            <v>Residential</v>
          </cell>
          <cell r="BT453" t="str">
            <v>Structure Owner</v>
          </cell>
        </row>
        <row r="453">
          <cell r="VV453" t="str">
            <v>isf</v>
          </cell>
        </row>
        <row r="454">
          <cell r="A454" t="str">
            <v>isf</v>
          </cell>
        </row>
        <row r="454">
          <cell r="C454" t="str">
            <v>CA-026</v>
          </cell>
        </row>
        <row r="454">
          <cell r="E454" t="str">
            <v>170 P. Burgos St., 10th Ave., Daang Bakal, Barangay 15, Caloocan City</v>
          </cell>
        </row>
        <row r="454">
          <cell r="Q454" t="str">
            <v>R</v>
          </cell>
        </row>
        <row r="454">
          <cell r="T454" t="str">
            <v>Astorga, Renalyn</v>
          </cell>
        </row>
        <row r="454">
          <cell r="AS454">
            <v>1</v>
          </cell>
        </row>
        <row r="454">
          <cell r="BS454" t="str">
            <v>Commercial</v>
          </cell>
          <cell r="BT454" t="str">
            <v>Structure Owner</v>
          </cell>
        </row>
        <row r="454">
          <cell r="VV454" t="str">
            <v>isf</v>
          </cell>
        </row>
        <row r="455">
          <cell r="A455" t="str">
            <v>isf</v>
          </cell>
        </row>
        <row r="455">
          <cell r="C455" t="str">
            <v>CA-027</v>
          </cell>
        </row>
        <row r="455">
          <cell r="E455" t="str">
            <v>16 Don Antonio St., Barangay 17 Caloocan City</v>
          </cell>
        </row>
        <row r="455">
          <cell r="Q455" t="str">
            <v>R</v>
          </cell>
        </row>
        <row r="455">
          <cell r="T455" t="str">
            <v>Ramos, Marlon Jose</v>
          </cell>
        </row>
        <row r="455">
          <cell r="AS455">
            <v>1</v>
          </cell>
        </row>
        <row r="455">
          <cell r="BS455" t="str">
            <v>Residential</v>
          </cell>
          <cell r="BT455" t="str">
            <v>Structure Owner</v>
          </cell>
        </row>
        <row r="455">
          <cell r="VV455" t="str">
            <v>isf</v>
          </cell>
        </row>
        <row r="456">
          <cell r="A456" t="str">
            <v>isf</v>
          </cell>
        </row>
        <row r="456">
          <cell r="C456" t="str">
            <v>CA-028</v>
          </cell>
        </row>
        <row r="456">
          <cell r="E456" t="str">
            <v>226 Don Antonio St., Barangay 17 Caloocan City</v>
          </cell>
        </row>
        <row r="456">
          <cell r="Q456" t="str">
            <v>L</v>
          </cell>
        </row>
        <row r="456">
          <cell r="T456" t="str">
            <v>Soriano, Allan</v>
          </cell>
        </row>
        <row r="456">
          <cell r="AS456">
            <v>0.16</v>
          </cell>
        </row>
        <row r="456">
          <cell r="BS456" t="str">
            <v>Residential</v>
          </cell>
          <cell r="BT456" t="str">
            <v>Structure Owner</v>
          </cell>
        </row>
        <row r="456">
          <cell r="VV456" t="str">
            <v>isf</v>
          </cell>
        </row>
        <row r="457">
          <cell r="A457" t="str">
            <v>isf</v>
          </cell>
        </row>
        <row r="457">
          <cell r="C457" t="str">
            <v>CA-029</v>
          </cell>
        </row>
        <row r="457">
          <cell r="E457" t="str">
            <v>158 Don Antonio St., Barangay 17 Caloocan City</v>
          </cell>
        </row>
        <row r="457">
          <cell r="Q457" t="str">
            <v>R</v>
          </cell>
        </row>
        <row r="457">
          <cell r="T457" t="str">
            <v>Lalu, Eduardo</v>
          </cell>
        </row>
        <row r="457">
          <cell r="AS457">
            <v>1</v>
          </cell>
        </row>
        <row r="457">
          <cell r="BS457" t="str">
            <v>Residential</v>
          </cell>
          <cell r="BT457" t="str">
            <v>Structure Owner</v>
          </cell>
        </row>
        <row r="457">
          <cell r="VV457" t="str">
            <v>isf</v>
          </cell>
        </row>
        <row r="458">
          <cell r="A458" t="str">
            <v>isf</v>
          </cell>
        </row>
        <row r="458">
          <cell r="C458" t="str">
            <v>CA-030</v>
          </cell>
        </row>
        <row r="458">
          <cell r="E458" t="str">
            <v>222 Don Antonio St., Barangay 17 Zone 2 Caloocan City</v>
          </cell>
        </row>
        <row r="458">
          <cell r="Q458" t="str">
            <v>R</v>
          </cell>
        </row>
        <row r="458">
          <cell r="T458" t="str">
            <v>Limos, Condrado</v>
          </cell>
        </row>
        <row r="458">
          <cell r="AS458">
            <v>1</v>
          </cell>
        </row>
        <row r="458">
          <cell r="BS458" t="str">
            <v>Residential</v>
          </cell>
          <cell r="BT458" t="str">
            <v>Structure Owner</v>
          </cell>
        </row>
        <row r="458">
          <cell r="VV458" t="str">
            <v>isf</v>
          </cell>
        </row>
        <row r="459">
          <cell r="A459" t="str">
            <v>isf</v>
          </cell>
        </row>
        <row r="459">
          <cell r="C459" t="str">
            <v>CA-031</v>
          </cell>
        </row>
        <row r="459">
          <cell r="E459" t="str">
            <v>Don Antonio St., Barangay 17, Caloocan City</v>
          </cell>
        </row>
        <row r="459">
          <cell r="Q459" t="str">
            <v>R</v>
          </cell>
        </row>
        <row r="459">
          <cell r="T459" t="str">
            <v>Ramil Pagdanganan c/o Joseph Pellas</v>
          </cell>
        </row>
        <row r="459">
          <cell r="BS459" t="str">
            <v>Residential</v>
          </cell>
          <cell r="BT459" t="str">
            <v>Structure Owner</v>
          </cell>
        </row>
        <row r="459">
          <cell r="VV459" t="str">
            <v>isf</v>
          </cell>
        </row>
        <row r="460">
          <cell r="A460" t="str">
            <v>isf</v>
          </cell>
        </row>
        <row r="460">
          <cell r="C460" t="str">
            <v>CA-032</v>
          </cell>
        </row>
        <row r="460">
          <cell r="E460" t="str">
            <v>33 Don Antonio St., Barangay 19 Zone 2 Caloocan City</v>
          </cell>
        </row>
        <row r="460">
          <cell r="Q460" t="str">
            <v>R</v>
          </cell>
        </row>
        <row r="460">
          <cell r="T460" t="str">
            <v>Pagdanganan, Virginia</v>
          </cell>
        </row>
        <row r="460">
          <cell r="AS460">
            <v>1</v>
          </cell>
        </row>
        <row r="460">
          <cell r="BS460" t="str">
            <v>Residential</v>
          </cell>
          <cell r="BT460" t="str">
            <v>Structure Owner</v>
          </cell>
        </row>
        <row r="460">
          <cell r="VV460" t="str">
            <v>isf</v>
          </cell>
        </row>
        <row r="461">
          <cell r="A461" t="str">
            <v>isf</v>
          </cell>
        </row>
        <row r="461">
          <cell r="C461" t="str">
            <v>CA-033</v>
          </cell>
        </row>
        <row r="461">
          <cell r="E461" t="str">
            <v>33 Don Antonio St., Barangay 19 Zone 2 Caloocan City</v>
          </cell>
        </row>
        <row r="461">
          <cell r="Q461" t="str">
            <v>R</v>
          </cell>
        </row>
        <row r="461">
          <cell r="T461" t="str">
            <v>De Vera, Reynaldo</v>
          </cell>
        </row>
        <row r="461">
          <cell r="AS461">
            <v>0.962962962962963</v>
          </cell>
        </row>
        <row r="461">
          <cell r="BS461" t="str">
            <v>Residential</v>
          </cell>
          <cell r="BT461" t="str">
            <v>Structure Owner</v>
          </cell>
        </row>
        <row r="461">
          <cell r="VV461" t="str">
            <v>isf</v>
          </cell>
        </row>
        <row r="462">
          <cell r="A462" t="str">
            <v>isf</v>
          </cell>
        </row>
        <row r="462">
          <cell r="C462" t="str">
            <v>CA-034</v>
          </cell>
        </row>
        <row r="462">
          <cell r="E462" t="str">
            <v>33 Don Antonio St., Barangay 19 Zone 2 Caloocan City</v>
          </cell>
        </row>
        <row r="462">
          <cell r="Q462" t="str">
            <v>R</v>
          </cell>
        </row>
        <row r="462">
          <cell r="T462" t="str">
            <v>Eddie Fajardo</v>
          </cell>
        </row>
        <row r="462">
          <cell r="AS462">
            <v>0.796470588235294</v>
          </cell>
        </row>
        <row r="462">
          <cell r="BS462" t="str">
            <v>Residential</v>
          </cell>
          <cell r="BT462" t="str">
            <v>Structure Owner</v>
          </cell>
        </row>
        <row r="462">
          <cell r="VV462" t="str">
            <v>isf</v>
          </cell>
        </row>
        <row r="463">
          <cell r="A463" t="str">
            <v>isf</v>
          </cell>
        </row>
        <row r="463">
          <cell r="C463" t="str">
            <v>CA-035</v>
          </cell>
        </row>
        <row r="463">
          <cell r="E463" t="str">
            <v>33 Don Antonio St., Barangay 19 Zone 2 Caloocan City</v>
          </cell>
        </row>
        <row r="463">
          <cell r="Q463" t="str">
            <v>R</v>
          </cell>
        </row>
        <row r="463">
          <cell r="T463" t="str">
            <v>Mr. Paed</v>
          </cell>
        </row>
        <row r="463">
          <cell r="AS463">
            <v>0.6</v>
          </cell>
        </row>
        <row r="463">
          <cell r="BS463" t="str">
            <v>Residential</v>
          </cell>
          <cell r="BT463" t="str">
            <v>Structure Owner</v>
          </cell>
        </row>
        <row r="463">
          <cell r="VV463" t="str">
            <v>isf</v>
          </cell>
        </row>
        <row r="464">
          <cell r="A464" t="str">
            <v>isf</v>
          </cell>
        </row>
        <row r="464">
          <cell r="C464" t="str">
            <v>CA-036</v>
          </cell>
        </row>
        <row r="464">
          <cell r="E464" t="str">
            <v>33 Don Antonio St., Barangay 19 Zone 2 Caloocan City</v>
          </cell>
        </row>
        <row r="464">
          <cell r="Q464" t="str">
            <v>R</v>
          </cell>
        </row>
        <row r="464">
          <cell r="T464" t="str">
            <v>Intal, Romarica</v>
          </cell>
        </row>
        <row r="464">
          <cell r="AS464">
            <v>0.268571428571429</v>
          </cell>
        </row>
        <row r="464">
          <cell r="BS464" t="str">
            <v>Residential</v>
          </cell>
          <cell r="BT464" t="str">
            <v>Structure Owner</v>
          </cell>
        </row>
        <row r="464">
          <cell r="JR464" t="str">
            <v>Can stay</v>
          </cell>
        </row>
        <row r="464">
          <cell r="VV464" t="str">
            <v>isf</v>
          </cell>
        </row>
        <row r="465">
          <cell r="A465" t="str">
            <v>isf</v>
          </cell>
        </row>
        <row r="465">
          <cell r="C465" t="str">
            <v>CA-037</v>
          </cell>
        </row>
        <row r="465">
          <cell r="E465" t="str">
            <v>33 Don Antonio St., Barangay 19 Zone 2 Caloocan City</v>
          </cell>
        </row>
        <row r="465">
          <cell r="Q465" t="str">
            <v>R</v>
          </cell>
        </row>
        <row r="465">
          <cell r="T465" t="str">
            <v>Gatardo, Jocelyn</v>
          </cell>
        </row>
        <row r="465">
          <cell r="AS465">
            <v>0.3188995215311</v>
          </cell>
        </row>
        <row r="465">
          <cell r="BS465" t="str">
            <v>Residential</v>
          </cell>
          <cell r="BT465" t="str">
            <v>Structure Owner</v>
          </cell>
        </row>
        <row r="465">
          <cell r="VV465" t="str">
            <v>isf</v>
          </cell>
        </row>
        <row r="466">
          <cell r="A466" t="str">
            <v>isf</v>
          </cell>
        </row>
        <row r="466">
          <cell r="C466" t="str">
            <v>CA-038</v>
          </cell>
        </row>
        <row r="466">
          <cell r="E466" t="str">
            <v>392 Don Antonio St., Barangay 19,  Caloocan City</v>
          </cell>
        </row>
        <row r="466">
          <cell r="Q466" t="str">
            <v>R</v>
          </cell>
        </row>
        <row r="466">
          <cell r="T466" t="str">
            <v>Apacible, Nestor</v>
          </cell>
        </row>
        <row r="466">
          <cell r="AS466">
            <v>0.740874015433209</v>
          </cell>
        </row>
        <row r="466">
          <cell r="BS466" t="str">
            <v>Residential</v>
          </cell>
          <cell r="BT466" t="str">
            <v>Structure Owner</v>
          </cell>
        </row>
        <row r="466">
          <cell r="VV466" t="str">
            <v>isf</v>
          </cell>
        </row>
        <row r="467">
          <cell r="A467" t="str">
            <v>isf</v>
          </cell>
        </row>
        <row r="467">
          <cell r="C467" t="str">
            <v>CA-039</v>
          </cell>
        </row>
        <row r="467">
          <cell r="E467" t="str">
            <v>102 Don Antonio St., Barangay 19,  Caloocan City</v>
          </cell>
        </row>
        <row r="467">
          <cell r="Q467" t="str">
            <v>R</v>
          </cell>
        </row>
        <row r="467">
          <cell r="T467" t="str">
            <v>Apacible, Nelia</v>
          </cell>
        </row>
        <row r="467">
          <cell r="AS467">
            <v>1</v>
          </cell>
        </row>
        <row r="467">
          <cell r="BS467" t="str">
            <v>Residential</v>
          </cell>
          <cell r="BT467" t="str">
            <v>Structure Owner</v>
          </cell>
        </row>
        <row r="467">
          <cell r="VV467" t="str">
            <v>isf</v>
          </cell>
        </row>
        <row r="468">
          <cell r="A468" t="str">
            <v>isf</v>
          </cell>
        </row>
        <row r="468">
          <cell r="C468" t="str">
            <v>CA-040</v>
          </cell>
        </row>
        <row r="468">
          <cell r="E468" t="str">
            <v>102 Don Antonio St., Barangay 19,  Caloocan City</v>
          </cell>
        </row>
        <row r="468">
          <cell r="Q468" t="str">
            <v>R</v>
          </cell>
        </row>
        <row r="468">
          <cell r="T468" t="str">
            <v>Gadi, Benigno Jr</v>
          </cell>
        </row>
        <row r="468">
          <cell r="AS468">
            <v>0.565425</v>
          </cell>
        </row>
        <row r="468">
          <cell r="BS468" t="str">
            <v>Residential</v>
          </cell>
          <cell r="BT468" t="str">
            <v>Structure Owner</v>
          </cell>
        </row>
        <row r="468">
          <cell r="VV468" t="str">
            <v>isf</v>
          </cell>
        </row>
        <row r="469">
          <cell r="A469" t="str">
            <v>isf</v>
          </cell>
        </row>
        <row r="469">
          <cell r="C469" t="str">
            <v>CA-041</v>
          </cell>
        </row>
        <row r="469">
          <cell r="E469" t="str">
            <v>610 Don Antonio St., Barangay 19,  Caloocan City</v>
          </cell>
        </row>
        <row r="469">
          <cell r="Q469" t="str">
            <v>R</v>
          </cell>
        </row>
        <row r="469">
          <cell r="T469" t="str">
            <v>Macaspac, Mamerto Viray</v>
          </cell>
        </row>
        <row r="469">
          <cell r="AS469">
            <v>1</v>
          </cell>
        </row>
        <row r="469">
          <cell r="BS469" t="str">
            <v>Residential</v>
          </cell>
          <cell r="BT469" t="str">
            <v>Structure Owner</v>
          </cell>
        </row>
        <row r="469">
          <cell r="VV469" t="str">
            <v>isf</v>
          </cell>
        </row>
        <row r="470">
          <cell r="A470" t="str">
            <v>isf</v>
          </cell>
        </row>
        <row r="470">
          <cell r="C470" t="str">
            <v>CA-042</v>
          </cell>
        </row>
        <row r="470">
          <cell r="E470" t="str">
            <v>102 Don Antonio St., Barangay 19,  Caloocan City</v>
          </cell>
        </row>
        <row r="470">
          <cell r="Q470" t="str">
            <v>R</v>
          </cell>
        </row>
        <row r="470">
          <cell r="T470" t="str">
            <v>Dagoc, Efren</v>
          </cell>
        </row>
        <row r="470">
          <cell r="AS470">
            <v>0.426523620627479</v>
          </cell>
        </row>
        <row r="470">
          <cell r="BS470" t="str">
            <v>Residential</v>
          </cell>
          <cell r="BT470" t="str">
            <v>Structure Owner</v>
          </cell>
        </row>
        <row r="470">
          <cell r="JR470" t="str">
            <v>Can Stay</v>
          </cell>
        </row>
        <row r="471">
          <cell r="A471" t="str">
            <v>isf</v>
          </cell>
        </row>
        <row r="471">
          <cell r="C471" t="str">
            <v>CA-043</v>
          </cell>
        </row>
        <row r="471">
          <cell r="E471" t="str">
            <v>102 Don Antonio St., Barangay 19,  Caloocan City</v>
          </cell>
        </row>
        <row r="471">
          <cell r="T471" t="str">
            <v>Martin, Carmelita</v>
          </cell>
        </row>
        <row r="471">
          <cell r="AS471">
            <v>1</v>
          </cell>
        </row>
        <row r="471">
          <cell r="BS471" t="str">
            <v>Residential</v>
          </cell>
          <cell r="BT471" t="str">
            <v>Structure Owner</v>
          </cell>
        </row>
        <row r="471">
          <cell r="JR471" t="str">
            <v>Need Displacement</v>
          </cell>
        </row>
        <row r="471">
          <cell r="KI471" t="str">
            <v>Cash Compensation/ Balik Probinsiya Program</v>
          </cell>
        </row>
        <row r="472">
          <cell r="A472" t="str">
            <v>isf</v>
          </cell>
        </row>
        <row r="472">
          <cell r="C472" t="str">
            <v>CA-044</v>
          </cell>
        </row>
        <row r="472">
          <cell r="E472" t="str">
            <v>102 Don Antonio St., Barangay 19,  Caloocan City</v>
          </cell>
        </row>
        <row r="472">
          <cell r="T472" t="str">
            <v>Gadi, Benigno Jr Limos</v>
          </cell>
        </row>
        <row r="472">
          <cell r="AS472">
            <v>1</v>
          </cell>
        </row>
        <row r="472">
          <cell r="BS472" t="str">
            <v>Residential</v>
          </cell>
          <cell r="BT472" t="str">
            <v>Structure Owner</v>
          </cell>
        </row>
        <row r="472">
          <cell r="VV472" t="str">
            <v>isf</v>
          </cell>
        </row>
        <row r="473">
          <cell r="A473" t="str">
            <v>isf</v>
          </cell>
        </row>
        <row r="473">
          <cell r="C473" t="str">
            <v>CA-045</v>
          </cell>
        </row>
        <row r="473">
          <cell r="E473" t="str">
            <v>102 Don Antonio St., Barangay 19,  Caloocan City</v>
          </cell>
        </row>
        <row r="473">
          <cell r="T473" t="str">
            <v>Cabañero, Jeffrey</v>
          </cell>
        </row>
        <row r="473">
          <cell r="AS473">
            <v>1</v>
          </cell>
        </row>
        <row r="473">
          <cell r="BS473" t="str">
            <v>Residential</v>
          </cell>
          <cell r="BT473" t="str">
            <v>Structure Owner</v>
          </cell>
        </row>
        <row r="473">
          <cell r="JR473" t="str">
            <v>Need Displacement</v>
          </cell>
        </row>
        <row r="473">
          <cell r="KI473" t="str">
            <v>Relocation</v>
          </cell>
          <cell r="KJ473" t="str">
            <v>In City</v>
          </cell>
        </row>
        <row r="473">
          <cell r="KL473" t="str">
            <v>Disiplina Village (Brgy Bignay, Valenzuela City)</v>
          </cell>
        </row>
        <row r="473">
          <cell r="KQ473" t="str">
            <v>x</v>
          </cell>
          <cell r="KR473" t="str">
            <v>x</v>
          </cell>
          <cell r="KS473" t="str">
            <v>x</v>
          </cell>
          <cell r="KT473" t="str">
            <v>x</v>
          </cell>
          <cell r="KU473" t="str">
            <v>x</v>
          </cell>
        </row>
        <row r="473">
          <cell r="KX473" t="str">
            <v>Y</v>
          </cell>
        </row>
        <row r="473">
          <cell r="KZ473" t="str">
            <v>x</v>
          </cell>
          <cell r="LA473" t="str">
            <v>x</v>
          </cell>
          <cell r="LB473" t="str">
            <v>x</v>
          </cell>
          <cell r="LC473" t="str">
            <v>x</v>
          </cell>
          <cell r="LD473" t="str">
            <v>x</v>
          </cell>
          <cell r="LE473" t="str">
            <v>x</v>
          </cell>
          <cell r="LF473" t="str">
            <v>x</v>
          </cell>
        </row>
        <row r="474">
          <cell r="A474" t="str">
            <v>isf</v>
          </cell>
        </row>
        <row r="474">
          <cell r="C474" t="str">
            <v>CA-046</v>
          </cell>
        </row>
        <row r="474">
          <cell r="E474" t="str">
            <v>102 Don Antonio St., Barangay 19,  Caloocan City</v>
          </cell>
        </row>
        <row r="474">
          <cell r="Q474" t="str">
            <v>R</v>
          </cell>
        </row>
        <row r="474">
          <cell r="T474" t="str">
            <v>Eulogio, Moises</v>
          </cell>
        </row>
        <row r="474">
          <cell r="AS474">
            <v>1</v>
          </cell>
        </row>
        <row r="474">
          <cell r="BS474" t="str">
            <v>Residential</v>
          </cell>
          <cell r="BT474" t="str">
            <v>Structure Owner</v>
          </cell>
        </row>
        <row r="474">
          <cell r="JR474" t="str">
            <v>Need Displacement</v>
          </cell>
        </row>
        <row r="474">
          <cell r="KI474" t="str">
            <v>Cash Compensation/ Balik Probinsiya Program</v>
          </cell>
        </row>
        <row r="475">
          <cell r="A475" t="str">
            <v>isf</v>
          </cell>
        </row>
        <row r="475">
          <cell r="C475" t="str">
            <v>CA-047</v>
          </cell>
        </row>
        <row r="475">
          <cell r="E475" t="str">
            <v>102 Don Antonio St., Barangay 19,  Caloocan City</v>
          </cell>
        </row>
        <row r="475">
          <cell r="T475" t="str">
            <v>Tarlac, Arturo</v>
          </cell>
        </row>
        <row r="475">
          <cell r="AS475">
            <v>0.838709677419355</v>
          </cell>
        </row>
        <row r="475">
          <cell r="BS475" t="str">
            <v>Residential</v>
          </cell>
          <cell r="BT475" t="str">
            <v>Structure Owner</v>
          </cell>
        </row>
        <row r="475">
          <cell r="JR475" t="str">
            <v>Need Displacement</v>
          </cell>
        </row>
        <row r="475">
          <cell r="KI475" t="str">
            <v>Relocation</v>
          </cell>
          <cell r="KJ475" t="str">
            <v>In City</v>
          </cell>
        </row>
        <row r="475">
          <cell r="KL475" t="str">
            <v>Disiplina Village (Brgy Bignay, Valenzuela City)</v>
          </cell>
        </row>
        <row r="475">
          <cell r="KQ475" t="str">
            <v>x</v>
          </cell>
        </row>
        <row r="475">
          <cell r="KX475" t="str">
            <v>Y</v>
          </cell>
        </row>
        <row r="475">
          <cell r="KZ475" t="str">
            <v>x</v>
          </cell>
          <cell r="LA475" t="str">
            <v>x</v>
          </cell>
          <cell r="LB475" t="str">
            <v>x</v>
          </cell>
          <cell r="LC475" t="str">
            <v>x</v>
          </cell>
        </row>
        <row r="475">
          <cell r="LE475" t="str">
            <v>x</v>
          </cell>
          <cell r="LF475" t="str">
            <v>x</v>
          </cell>
        </row>
        <row r="476">
          <cell r="A476" t="str">
            <v>isf</v>
          </cell>
        </row>
        <row r="476">
          <cell r="C476" t="str">
            <v>CA-048</v>
          </cell>
        </row>
        <row r="476">
          <cell r="E476" t="str">
            <v>102 Don Antonio St., Barangay 19,  Caloocan City</v>
          </cell>
        </row>
        <row r="476">
          <cell r="Q476" t="str">
            <v>R</v>
          </cell>
        </row>
        <row r="476">
          <cell r="T476" t="str">
            <v>Rendon, Rowel</v>
          </cell>
        </row>
        <row r="476">
          <cell r="AS476">
            <v>0.125523012552301</v>
          </cell>
        </row>
        <row r="476">
          <cell r="BS476" t="str">
            <v>Residential</v>
          </cell>
          <cell r="BT476" t="str">
            <v>Structure Owner</v>
          </cell>
        </row>
        <row r="476">
          <cell r="JR476" t="str">
            <v>Can Stay (ACCESS BLOCK)</v>
          </cell>
        </row>
        <row r="476">
          <cell r="KI476" t="str">
            <v>Relocation</v>
          </cell>
          <cell r="KJ476" t="str">
            <v>In City</v>
          </cell>
        </row>
        <row r="476">
          <cell r="KL476" t="str">
            <v>NorthVille 5, NortheV ille 7, Pandi residence, SJDM Heihts</v>
          </cell>
        </row>
        <row r="476">
          <cell r="KR476" t="str">
            <v>x</v>
          </cell>
          <cell r="KS476" t="str">
            <v>x</v>
          </cell>
          <cell r="KT476" t="str">
            <v>x</v>
          </cell>
          <cell r="KU476" t="str">
            <v>x</v>
          </cell>
        </row>
        <row r="476">
          <cell r="KX476" t="str">
            <v>Y</v>
          </cell>
        </row>
        <row r="476">
          <cell r="KZ476" t="str">
            <v>x</v>
          </cell>
          <cell r="LA476" t="str">
            <v>x</v>
          </cell>
          <cell r="LB476" t="str">
            <v>x</v>
          </cell>
          <cell r="LC476" t="str">
            <v>x</v>
          </cell>
          <cell r="LD476" t="str">
            <v>x</v>
          </cell>
          <cell r="LE476" t="str">
            <v>x</v>
          </cell>
          <cell r="LF476" t="str">
            <v>x</v>
          </cell>
        </row>
        <row r="477">
          <cell r="A477" t="str">
            <v>isf</v>
          </cell>
        </row>
        <row r="477">
          <cell r="C477" t="str">
            <v>CA-049</v>
          </cell>
        </row>
        <row r="477">
          <cell r="E477" t="str">
            <v>102 Don Antonio St., Barangay 19,  Caloocan City</v>
          </cell>
        </row>
        <row r="477">
          <cell r="Q477" t="str">
            <v>R</v>
          </cell>
        </row>
        <row r="477">
          <cell r="T477" t="str">
            <v>Apacible, Virgilio</v>
          </cell>
        </row>
        <row r="477">
          <cell r="AS477">
            <v>0.125523012552301</v>
          </cell>
        </row>
        <row r="477">
          <cell r="BS477" t="str">
            <v>Residential</v>
          </cell>
          <cell r="BT477" t="str">
            <v>Structure Owner</v>
          </cell>
        </row>
        <row r="477">
          <cell r="JR477" t="str">
            <v>Can Stay (ACCESS BLOCK)</v>
          </cell>
        </row>
        <row r="477">
          <cell r="KI477" t="str">
            <v>Relocation</v>
          </cell>
        </row>
        <row r="477">
          <cell r="KL477" t="str">
            <v>NorthVille 7, Brgy. Malis, Guiguinto Bulacan</v>
          </cell>
        </row>
        <row r="477">
          <cell r="KQ477" t="str">
            <v>x</v>
          </cell>
          <cell r="KR477" t="str">
            <v>x</v>
          </cell>
          <cell r="KS477" t="str">
            <v>x</v>
          </cell>
          <cell r="KT477" t="str">
            <v>x</v>
          </cell>
          <cell r="KU477" t="str">
            <v>x</v>
          </cell>
        </row>
        <row r="477">
          <cell r="KX477" t="str">
            <v>Y</v>
          </cell>
        </row>
        <row r="477">
          <cell r="KZ477" t="str">
            <v>x</v>
          </cell>
          <cell r="LA477" t="str">
            <v>x</v>
          </cell>
          <cell r="LB477" t="str">
            <v>x</v>
          </cell>
          <cell r="LC477" t="str">
            <v>x</v>
          </cell>
          <cell r="LD477" t="str">
            <v>x</v>
          </cell>
          <cell r="LE477" t="str">
            <v>x</v>
          </cell>
          <cell r="LF477" t="str">
            <v>x</v>
          </cell>
        </row>
        <row r="478">
          <cell r="A478" t="str">
            <v>isf</v>
          </cell>
        </row>
        <row r="478">
          <cell r="C478" t="str">
            <v>CA-050A </v>
          </cell>
        </row>
        <row r="478">
          <cell r="E478" t="str">
            <v>102 Don Antonio St., Barangay 19,  Caloocan City</v>
          </cell>
        </row>
        <row r="478">
          <cell r="Q478" t="str">
            <v>R</v>
          </cell>
        </row>
        <row r="478">
          <cell r="T478" t="str">
            <v>Torneros, Oscar</v>
          </cell>
        </row>
        <row r="478">
          <cell r="AS478">
            <v>1</v>
          </cell>
        </row>
        <row r="478">
          <cell r="BS478" t="str">
            <v>Residential</v>
          </cell>
          <cell r="BT478" t="str">
            <v>Structure Owner</v>
          </cell>
        </row>
        <row r="478">
          <cell r="JR478" t="str">
            <v>Need Displacement</v>
          </cell>
        </row>
        <row r="478">
          <cell r="VV478" t="str">
            <v>isf</v>
          </cell>
        </row>
        <row r="479">
          <cell r="A479" t="str">
            <v>isf 478</v>
          </cell>
        </row>
        <row r="479">
          <cell r="C479" t="str">
            <v>CA-050B</v>
          </cell>
        </row>
        <row r="479">
          <cell r="E479" t="str">
            <v>102 Don Antonio St., Barangay 19,  Caloocan City</v>
          </cell>
        </row>
        <row r="479">
          <cell r="Q479" t="str">
            <v>R</v>
          </cell>
        </row>
        <row r="479">
          <cell r="T479" t="str">
            <v>Oscar Torneros</v>
          </cell>
        </row>
        <row r="479">
          <cell r="BS479" t="str">
            <v>Residential</v>
          </cell>
          <cell r="BT479" t="str">
            <v>Structure Owner</v>
          </cell>
        </row>
        <row r="479">
          <cell r="JR479" t="str">
            <v>Can Stay (ACCESS BLOCK)</v>
          </cell>
        </row>
        <row r="479">
          <cell r="KI479" t="str">
            <v>Relocation</v>
          </cell>
          <cell r="KJ479" t="str">
            <v>In City</v>
          </cell>
        </row>
        <row r="479">
          <cell r="KL479" t="str">
            <v>Disiplina Village (Brgy Bignay, Valenzuela City)</v>
          </cell>
        </row>
        <row r="479">
          <cell r="KQ479" t="str">
            <v>x</v>
          </cell>
          <cell r="KR479" t="str">
            <v>x</v>
          </cell>
          <cell r="KS479" t="str">
            <v>x</v>
          </cell>
          <cell r="KT479" t="str">
            <v>x</v>
          </cell>
          <cell r="KU479" t="str">
            <v>x</v>
          </cell>
        </row>
        <row r="479">
          <cell r="KX479" t="str">
            <v>Y</v>
          </cell>
        </row>
        <row r="479">
          <cell r="KZ479" t="str">
            <v>x</v>
          </cell>
          <cell r="LA479" t="str">
            <v>x</v>
          </cell>
        </row>
        <row r="479">
          <cell r="LC479" t="str">
            <v>x</v>
          </cell>
        </row>
        <row r="479">
          <cell r="LE479" t="str">
            <v>x</v>
          </cell>
          <cell r="LF479" t="str">
            <v>x</v>
          </cell>
        </row>
        <row r="480">
          <cell r="A480" t="str">
            <v>isf</v>
          </cell>
        </row>
        <row r="480">
          <cell r="C480" t="str">
            <v>CA-051</v>
          </cell>
        </row>
        <row r="480">
          <cell r="E480" t="str">
            <v>102 Don Antonio St., Barangay 19,  Caloocan City</v>
          </cell>
        </row>
        <row r="480">
          <cell r="Q480" t="str">
            <v>R</v>
          </cell>
        </row>
        <row r="480">
          <cell r="T480" t="str">
            <v>Ponseca, Mac Gary</v>
          </cell>
        </row>
        <row r="480">
          <cell r="AS480">
            <v>1</v>
          </cell>
        </row>
        <row r="480">
          <cell r="BS480" t="str">
            <v>Residential</v>
          </cell>
          <cell r="BT480" t="str">
            <v>Structure Owner</v>
          </cell>
        </row>
        <row r="480">
          <cell r="JR480" t="str">
            <v>Need Displacement</v>
          </cell>
        </row>
        <row r="480">
          <cell r="KI480" t="str">
            <v>Relocation</v>
          </cell>
        </row>
        <row r="480">
          <cell r="KL480" t="str">
            <v>San Jose Del Monte Heights, (Brgy. Muzon, SJDM, Bulacan)</v>
          </cell>
        </row>
        <row r="480">
          <cell r="KR480" t="str">
            <v>x</v>
          </cell>
          <cell r="KS480" t="str">
            <v>x</v>
          </cell>
          <cell r="KT480" t="str">
            <v>x</v>
          </cell>
          <cell r="KU480" t="str">
            <v>x</v>
          </cell>
        </row>
        <row r="480">
          <cell r="KZ480" t="str">
            <v>x</v>
          </cell>
          <cell r="LA480" t="str">
            <v>x</v>
          </cell>
          <cell r="LB480" t="str">
            <v>x</v>
          </cell>
          <cell r="LC480" t="str">
            <v>x</v>
          </cell>
          <cell r="LD480" t="str">
            <v>x</v>
          </cell>
          <cell r="LE480" t="str">
            <v>x</v>
          </cell>
          <cell r="LF480" t="str">
            <v>x</v>
          </cell>
        </row>
        <row r="481">
          <cell r="A481" t="str">
            <v>isf-r</v>
          </cell>
        </row>
        <row r="481">
          <cell r="C481" t="str">
            <v>CA-052</v>
          </cell>
        </row>
        <row r="481">
          <cell r="E481" t="str">
            <v>503 Doña Rita St., Barangay 19 Caloocan City</v>
          </cell>
        </row>
        <row r="481">
          <cell r="Q481" t="str">
            <v>R</v>
          </cell>
        </row>
        <row r="481">
          <cell r="T481" t="str">
            <v>Dela Cruz, Alfredo</v>
          </cell>
        </row>
        <row r="481">
          <cell r="AS481">
            <v>0.0553935860058309</v>
          </cell>
        </row>
        <row r="481">
          <cell r="BS481" t="str">
            <v>Residential</v>
          </cell>
          <cell r="BT481" t="str">
            <v>Structure Owner</v>
          </cell>
        </row>
        <row r="481">
          <cell r="JP481">
            <v>500</v>
          </cell>
        </row>
        <row r="481">
          <cell r="JR481" t="str">
            <v>Can Stay</v>
          </cell>
        </row>
        <row r="482">
          <cell r="A482" t="str">
            <v>isf</v>
          </cell>
        </row>
        <row r="482">
          <cell r="C482" t="str">
            <v>CA-053</v>
          </cell>
        </row>
        <row r="482">
          <cell r="E482" t="str">
            <v>102 Don Antonio St., Barangay 19,  Caloocan City</v>
          </cell>
        </row>
        <row r="482">
          <cell r="Q482" t="str">
            <v>R</v>
          </cell>
        </row>
        <row r="482">
          <cell r="T482" t="str">
            <v>Apacible, Verlin</v>
          </cell>
        </row>
        <row r="482">
          <cell r="AS482">
            <v>1</v>
          </cell>
        </row>
        <row r="482">
          <cell r="BS482" t="str">
            <v>Residential</v>
          </cell>
          <cell r="BT482" t="str">
            <v>Structure Owner</v>
          </cell>
        </row>
        <row r="482">
          <cell r="JR482" t="str">
            <v>Need Displacement</v>
          </cell>
        </row>
        <row r="482">
          <cell r="KI482" t="str">
            <v>Relocation</v>
          </cell>
        </row>
        <row r="482">
          <cell r="KL482" t="str">
            <v>Disiplina Village (Brgy Bignay, Valenzuela City)</v>
          </cell>
        </row>
        <row r="482">
          <cell r="KR482" t="str">
            <v>x</v>
          </cell>
          <cell r="KS482" t="str">
            <v>x</v>
          </cell>
          <cell r="KT482" t="str">
            <v>x</v>
          </cell>
          <cell r="KU482" t="str">
            <v>x</v>
          </cell>
        </row>
        <row r="482">
          <cell r="KZ482" t="str">
            <v>x</v>
          </cell>
          <cell r="LA482" t="str">
            <v>x</v>
          </cell>
          <cell r="LB482" t="str">
            <v>x</v>
          </cell>
          <cell r="LC482" t="str">
            <v>x</v>
          </cell>
          <cell r="LD482" t="str">
            <v>x</v>
          </cell>
          <cell r="LE482" t="str">
            <v>x</v>
          </cell>
          <cell r="LF482" t="str">
            <v>x</v>
          </cell>
        </row>
        <row r="483">
          <cell r="A483" t="str">
            <v>isf</v>
          </cell>
        </row>
        <row r="483">
          <cell r="C483" t="str">
            <v>CA-054</v>
          </cell>
        </row>
        <row r="483">
          <cell r="E483" t="str">
            <v>102 Don Antonio St., Barangay 19,  Caloocan City</v>
          </cell>
        </row>
        <row r="483">
          <cell r="T483" t="str">
            <v>Lundag, Dorothy Recudo</v>
          </cell>
        </row>
        <row r="483">
          <cell r="AS483">
            <v>0.977443609022557</v>
          </cell>
        </row>
        <row r="483">
          <cell r="BS483" t="str">
            <v>Residential</v>
          </cell>
          <cell r="BT483" t="str">
            <v>Structure Owner</v>
          </cell>
        </row>
        <row r="483">
          <cell r="JR483" t="str">
            <v>(ACCESS BLOCK)</v>
          </cell>
        </row>
        <row r="483">
          <cell r="VV483" t="str">
            <v>isf</v>
          </cell>
        </row>
        <row r="484">
          <cell r="A484" t="str">
            <v>isf</v>
          </cell>
        </row>
        <row r="484">
          <cell r="C484" t="str">
            <v>CA-055</v>
          </cell>
        </row>
        <row r="484">
          <cell r="E484" t="str">
            <v>577 Doña Rita St., Barangay 19 Caloocan City</v>
          </cell>
        </row>
        <row r="484">
          <cell r="Q484" t="str">
            <v>R</v>
          </cell>
        </row>
        <row r="484">
          <cell r="T484" t="str">
            <v>Masallo, Segunda</v>
          </cell>
        </row>
        <row r="484">
          <cell r="AS484">
            <v>0.507688828584351</v>
          </cell>
        </row>
        <row r="484">
          <cell r="BS484" t="str">
            <v>Mixed use</v>
          </cell>
          <cell r="BT484" t="str">
            <v>Structure Owner</v>
          </cell>
        </row>
        <row r="484">
          <cell r="JR484" t="str">
            <v>Need Displacement</v>
          </cell>
        </row>
        <row r="484">
          <cell r="KI484" t="str">
            <v>Cash Compensation/ Balik Probinsiya Program</v>
          </cell>
        </row>
        <row r="485">
          <cell r="A485" t="str">
            <v>isf</v>
          </cell>
        </row>
        <row r="485">
          <cell r="C485" t="str">
            <v>CA-056</v>
          </cell>
        </row>
        <row r="485">
          <cell r="E485" t="str">
            <v>212 Doña Rita St., Barangay 19 Caloocan City</v>
          </cell>
        </row>
        <row r="485">
          <cell r="Q485" t="str">
            <v>R</v>
          </cell>
        </row>
        <row r="485">
          <cell r="T485" t="str">
            <v>Tabuac, Francisco</v>
          </cell>
        </row>
        <row r="485">
          <cell r="AS485">
            <v>0.227272727272727</v>
          </cell>
        </row>
        <row r="485">
          <cell r="BS485" t="str">
            <v>Mixed use</v>
          </cell>
          <cell r="BT485" t="str">
            <v>Structure Owner</v>
          </cell>
        </row>
        <row r="485">
          <cell r="JP485">
            <v>1600</v>
          </cell>
        </row>
        <row r="485">
          <cell r="JR485" t="str">
            <v>Need Displacement</v>
          </cell>
        </row>
        <row r="485">
          <cell r="KI485" t="str">
            <v>Relocation</v>
          </cell>
          <cell r="KJ485" t="str">
            <v>Bulacan</v>
          </cell>
        </row>
        <row r="485">
          <cell r="KL485" t="str">
            <v>Bulacan</v>
          </cell>
        </row>
        <row r="485">
          <cell r="KS485" t="str">
            <v>x</v>
          </cell>
        </row>
        <row r="485">
          <cell r="KX485" t="str">
            <v>not sure</v>
          </cell>
        </row>
        <row r="485">
          <cell r="KZ485" t="str">
            <v>x</v>
          </cell>
        </row>
        <row r="485">
          <cell r="LE485" t="str">
            <v>x</v>
          </cell>
        </row>
        <row r="486">
          <cell r="A486" t="str">
            <v>isf</v>
          </cell>
        </row>
        <row r="486">
          <cell r="C486" t="str">
            <v>CA-057</v>
          </cell>
        </row>
        <row r="486">
          <cell r="E486" t="str">
            <v>212 Doña Rita St., Barangay 19 Caloocan City</v>
          </cell>
        </row>
        <row r="486">
          <cell r="Q486" t="str">
            <v>R</v>
          </cell>
        </row>
        <row r="486">
          <cell r="T486" t="str">
            <v>Generalo, Roselyn</v>
          </cell>
        </row>
        <row r="486">
          <cell r="AS486">
            <v>1</v>
          </cell>
        </row>
        <row r="486">
          <cell r="BS486" t="str">
            <v>Mixed use</v>
          </cell>
          <cell r="BT486" t="str">
            <v>Structure Owner</v>
          </cell>
        </row>
        <row r="486">
          <cell r="JR486" t="str">
            <v>Need Displacement</v>
          </cell>
        </row>
        <row r="486">
          <cell r="KI486" t="str">
            <v>Relocation</v>
          </cell>
          <cell r="KJ486" t="str">
            <v>Bulacan</v>
          </cell>
        </row>
        <row r="486">
          <cell r="KL486" t="str">
            <v>San Jose Del Monte Heights, (Brgy. Muzon, SJDM, Bulacan)</v>
          </cell>
        </row>
        <row r="486">
          <cell r="KQ486" t="str">
            <v>x</v>
          </cell>
          <cell r="KR486" t="str">
            <v>x</v>
          </cell>
          <cell r="KS486" t="str">
            <v>x</v>
          </cell>
          <cell r="KT486" t="str">
            <v>x</v>
          </cell>
          <cell r="KU486" t="str">
            <v>x</v>
          </cell>
        </row>
        <row r="486">
          <cell r="KX486" t="str">
            <v>Y</v>
          </cell>
        </row>
        <row r="486">
          <cell r="KZ486" t="str">
            <v>x</v>
          </cell>
          <cell r="LA486" t="str">
            <v>x</v>
          </cell>
          <cell r="LB486" t="str">
            <v>x</v>
          </cell>
          <cell r="LC486" t="str">
            <v>x</v>
          </cell>
          <cell r="LD486" t="str">
            <v>x</v>
          </cell>
          <cell r="LE486" t="str">
            <v>x</v>
          </cell>
          <cell r="LF486" t="str">
            <v>x</v>
          </cell>
        </row>
        <row r="487">
          <cell r="A487" t="str">
            <v>isf</v>
          </cell>
        </row>
        <row r="487">
          <cell r="C487" t="str">
            <v>CA-058</v>
          </cell>
        </row>
        <row r="487">
          <cell r="E487" t="str">
            <v>212 Doña Rita St., Barangay 19 Caloocan City</v>
          </cell>
        </row>
        <row r="487">
          <cell r="Q487" t="str">
            <v>R</v>
          </cell>
        </row>
        <row r="487">
          <cell r="T487" t="str">
            <v>Gaddi, Rodrigo</v>
          </cell>
        </row>
        <row r="487">
          <cell r="AS487">
            <v>1</v>
          </cell>
        </row>
        <row r="487">
          <cell r="BS487" t="str">
            <v>Residential</v>
          </cell>
          <cell r="BT487" t="str">
            <v>Structure Owner</v>
          </cell>
        </row>
        <row r="487">
          <cell r="JR487" t="str">
            <v>Need Displacement</v>
          </cell>
        </row>
        <row r="487">
          <cell r="KI487" t="str">
            <v>Relocation</v>
          </cell>
          <cell r="KJ487" t="str">
            <v>In City</v>
          </cell>
        </row>
        <row r="487">
          <cell r="KL487" t="str">
            <v>Northville 5, Brgy Batia, Bocaue Bulacan</v>
          </cell>
        </row>
        <row r="487">
          <cell r="KQ487" t="str">
            <v>x</v>
          </cell>
        </row>
        <row r="487">
          <cell r="KS487" t="str">
            <v>x</v>
          </cell>
          <cell r="KT487" t="str">
            <v>x</v>
          </cell>
          <cell r="KU487" t="str">
            <v>x</v>
          </cell>
        </row>
        <row r="487">
          <cell r="KX487" t="str">
            <v>Y</v>
          </cell>
        </row>
        <row r="487">
          <cell r="KZ487" t="str">
            <v>x</v>
          </cell>
          <cell r="LA487" t="str">
            <v>x</v>
          </cell>
          <cell r="LB487" t="str">
            <v>x</v>
          </cell>
          <cell r="LC487" t="str">
            <v>x</v>
          </cell>
          <cell r="LD487" t="str">
            <v>x</v>
          </cell>
          <cell r="LE487" t="str">
            <v>x</v>
          </cell>
          <cell r="LF487" t="str">
            <v>x</v>
          </cell>
        </row>
        <row r="488">
          <cell r="A488" t="str">
            <v>legal</v>
          </cell>
        </row>
        <row r="488">
          <cell r="C488" t="str">
            <v>CA-059</v>
          </cell>
        </row>
        <row r="488">
          <cell r="E488" t="str">
            <v>212 Doña Rita St., Barangay 19 Caloocan City</v>
          </cell>
        </row>
        <row r="488">
          <cell r="Q488" t="str">
            <v>R</v>
          </cell>
        </row>
        <row r="488">
          <cell r="T488" t="str">
            <v>Arevano, Nelia</v>
          </cell>
        </row>
        <row r="488">
          <cell r="AS488">
            <v>0.0777777777777778</v>
          </cell>
        </row>
        <row r="488">
          <cell r="BS488" t="str">
            <v>Residential</v>
          </cell>
          <cell r="BT488" t="str">
            <v>Structure Owner</v>
          </cell>
        </row>
        <row r="488">
          <cell r="JR488" t="str">
            <v>Can Stay</v>
          </cell>
        </row>
        <row r="488">
          <cell r="VV488" t="str">
            <v>legal</v>
          </cell>
        </row>
        <row r="489">
          <cell r="A489" t="str">
            <v>isf</v>
          </cell>
        </row>
        <row r="489">
          <cell r="C489" t="str">
            <v>CA-060</v>
          </cell>
        </row>
        <row r="489">
          <cell r="E489" t="str">
            <v>212 Doña Rita St., Barangay 19 Caloocan City</v>
          </cell>
        </row>
        <row r="489">
          <cell r="Q489" t="str">
            <v>R</v>
          </cell>
        </row>
        <row r="489">
          <cell r="T489" t="str">
            <v>Velasco, Edwardo</v>
          </cell>
        </row>
        <row r="489">
          <cell r="AS489">
            <v>0.145833333333333</v>
          </cell>
        </row>
        <row r="489">
          <cell r="BS489" t="str">
            <v>Residential</v>
          </cell>
          <cell r="BT489" t="str">
            <v>Structure Owner</v>
          </cell>
        </row>
        <row r="489">
          <cell r="JR489" t="str">
            <v>Can Stay</v>
          </cell>
        </row>
        <row r="489">
          <cell r="KI489" t="str">
            <v>Relocation</v>
          </cell>
          <cell r="KJ489" t="str">
            <v>Bulacan</v>
          </cell>
        </row>
        <row r="489">
          <cell r="KL489" t="str">
            <v>San Jose Del Monte Heights, (Brgy. Muzon, SJDM, Bulacan)</v>
          </cell>
        </row>
        <row r="489">
          <cell r="KQ489" t="str">
            <v>x</v>
          </cell>
          <cell r="KR489" t="str">
            <v>x</v>
          </cell>
          <cell r="KS489" t="str">
            <v>x</v>
          </cell>
          <cell r="KT489" t="str">
            <v>x</v>
          </cell>
          <cell r="KU489" t="str">
            <v>x</v>
          </cell>
        </row>
        <row r="490">
          <cell r="A490" t="str">
            <v>legal</v>
          </cell>
        </row>
        <row r="490">
          <cell r="C490" t="str">
            <v>CA-061</v>
          </cell>
        </row>
        <row r="490">
          <cell r="E490" t="str">
            <v>212 Doña Rita St., Barangay 19 Caloocan City</v>
          </cell>
        </row>
        <row r="490">
          <cell r="Q490" t="str">
            <v>R</v>
          </cell>
        </row>
        <row r="490">
          <cell r="T490" t="str">
            <v>Velasco, Noel</v>
          </cell>
        </row>
        <row r="490">
          <cell r="AS490">
            <v>0.420168067226891</v>
          </cell>
        </row>
        <row r="490">
          <cell r="BS490" t="str">
            <v>Residential</v>
          </cell>
          <cell r="BT490" t="str">
            <v>Structure Owner</v>
          </cell>
        </row>
        <row r="490">
          <cell r="VV490" t="str">
            <v>legal</v>
          </cell>
        </row>
        <row r="491">
          <cell r="A491" t="str">
            <v>legal</v>
          </cell>
        </row>
        <row r="491">
          <cell r="C491" t="str">
            <v>CA-062</v>
          </cell>
        </row>
        <row r="491">
          <cell r="E491" t="str">
            <v>212 Doña Rita St., Barangay 19 Caloocan City</v>
          </cell>
        </row>
        <row r="491">
          <cell r="Q491" t="str">
            <v>R</v>
          </cell>
        </row>
        <row r="491">
          <cell r="AS491">
            <v>0.409353233830846</v>
          </cell>
        </row>
        <row r="491">
          <cell r="BS491" t="str">
            <v>Residential</v>
          </cell>
          <cell r="BT491" t="str">
            <v>Land Owner</v>
          </cell>
        </row>
        <row r="491">
          <cell r="VV491" t="str">
            <v>legal</v>
          </cell>
        </row>
        <row r="492">
          <cell r="A492" t="str">
            <v>legal 491</v>
          </cell>
        </row>
        <row r="492">
          <cell r="C492" t="str">
            <v>CA-062</v>
          </cell>
        </row>
        <row r="492">
          <cell r="E492" t="str">
            <v>212 Doña Rita St., Barangay 19 Caloocan City</v>
          </cell>
        </row>
        <row r="492">
          <cell r="Q492" t="str">
            <v>R</v>
          </cell>
        </row>
        <row r="492">
          <cell r="T492" t="str">
            <v>Bernabe, Ronnie</v>
          </cell>
        </row>
        <row r="492">
          <cell r="BS492" t="str">
            <v>Mixed use</v>
          </cell>
          <cell r="BT492" t="str">
            <v>Structure Owner</v>
          </cell>
        </row>
        <row r="492">
          <cell r="JR492" t="str">
            <v>Need Displacement</v>
          </cell>
        </row>
        <row r="492">
          <cell r="VV492" t="str">
            <v>legal 491</v>
          </cell>
        </row>
        <row r="493">
          <cell r="A493" t="str">
            <v>legal 491</v>
          </cell>
        </row>
        <row r="493">
          <cell r="C493" t="str">
            <v>CA-062</v>
          </cell>
        </row>
        <row r="493">
          <cell r="E493" t="str">
            <v>212 Doña Rita St., Barangay 19 Caloocan City</v>
          </cell>
        </row>
        <row r="493">
          <cell r="Q493" t="str">
            <v>R</v>
          </cell>
        </row>
        <row r="493">
          <cell r="T493" t="str">
            <v>Dizon, Edison</v>
          </cell>
        </row>
        <row r="493">
          <cell r="BS493" t="str">
            <v>Mixed use</v>
          </cell>
          <cell r="BT493" t="str">
            <v>Commercial Tenant</v>
          </cell>
        </row>
        <row r="493">
          <cell r="VV493" t="str">
            <v>legal 491</v>
          </cell>
        </row>
        <row r="494">
          <cell r="A494" t="str">
            <v>legal</v>
          </cell>
        </row>
        <row r="494">
          <cell r="C494" t="str">
            <v>CA-063</v>
          </cell>
        </row>
        <row r="494">
          <cell r="E494" t="str">
            <v>214 Doña Rita St., Barangay 19 Caloocan City</v>
          </cell>
        </row>
        <row r="494">
          <cell r="Q494" t="str">
            <v>R</v>
          </cell>
        </row>
        <row r="494">
          <cell r="T494" t="str">
            <v>Sayson Mark James</v>
          </cell>
        </row>
        <row r="494">
          <cell r="BS494" t="str">
            <v>Residential</v>
          </cell>
          <cell r="BT494" t="str">
            <v>Structure Owner</v>
          </cell>
        </row>
        <row r="494">
          <cell r="KG494">
            <v>1800</v>
          </cell>
        </row>
        <row r="494">
          <cell r="VV494" t="str">
            <v>legal</v>
          </cell>
        </row>
        <row r="495">
          <cell r="A495" t="str">
            <v> legal-r 494</v>
          </cell>
        </row>
        <row r="495">
          <cell r="C495" t="str">
            <v>CA-063</v>
          </cell>
        </row>
        <row r="495">
          <cell r="E495" t="str">
            <v>214 Doña Rita St., Barangay 19 Caloocan City</v>
          </cell>
        </row>
        <row r="495">
          <cell r="Q495" t="str">
            <v>R</v>
          </cell>
        </row>
        <row r="495">
          <cell r="T495" t="str">
            <v>Del Monte, Rosita</v>
          </cell>
        </row>
        <row r="495">
          <cell r="BS495" t="str">
            <v>Residential</v>
          </cell>
          <cell r="BT495" t="str">
            <v>Structure Renter</v>
          </cell>
        </row>
        <row r="495">
          <cell r="JP495">
            <v>950</v>
          </cell>
        </row>
        <row r="495">
          <cell r="JR495" t="str">
            <v>Can Stay</v>
          </cell>
        </row>
        <row r="495">
          <cell r="VV495" t="str">
            <v> legal-r 494</v>
          </cell>
        </row>
        <row r="496">
          <cell r="A496" t="str">
            <v>legal</v>
          </cell>
        </row>
        <row r="496">
          <cell r="C496" t="str">
            <v>CA-064</v>
          </cell>
        </row>
        <row r="496">
          <cell r="E496" t="str">
            <v>214 Doña Rita St., Barangay 19 Caloocan City</v>
          </cell>
        </row>
        <row r="496">
          <cell r="Q496" t="str">
            <v>R</v>
          </cell>
        </row>
        <row r="496">
          <cell r="BS496" t="str">
            <v>Residential</v>
          </cell>
          <cell r="BT496" t="str">
            <v>Structure Owner</v>
          </cell>
        </row>
        <row r="496">
          <cell r="JR496" t="str">
            <v>Need Displacement</v>
          </cell>
        </row>
        <row r="496">
          <cell r="VV496" t="str">
            <v>legal</v>
          </cell>
        </row>
        <row r="497">
          <cell r="A497" t="str">
            <v>legal</v>
          </cell>
        </row>
        <row r="497">
          <cell r="C497" t="str">
            <v>CA-065</v>
          </cell>
        </row>
        <row r="497">
          <cell r="E497" t="str">
            <v>214 Doña Rita St., Barangay 19 Caloocan City</v>
          </cell>
        </row>
        <row r="497">
          <cell r="Q497" t="str">
            <v>R</v>
          </cell>
        </row>
        <row r="497">
          <cell r="T497" t="str">
            <v>Silvederio, Vilmo</v>
          </cell>
        </row>
        <row r="497">
          <cell r="AS497">
            <v>0.124795377948965</v>
          </cell>
        </row>
        <row r="497">
          <cell r="BS497" t="str">
            <v>Residential</v>
          </cell>
          <cell r="BT497" t="str">
            <v>Structure Owner</v>
          </cell>
        </row>
        <row r="497">
          <cell r="JR497" t="str">
            <v>Can Stay</v>
          </cell>
        </row>
        <row r="497">
          <cell r="KI497" t="str">
            <v>Relocation</v>
          </cell>
          <cell r="KJ497" t="str">
            <v>In City</v>
          </cell>
        </row>
        <row r="497">
          <cell r="KL497" t="str">
            <v>Disiplina Village (Brgy Bignay, Valenzuela City)</v>
          </cell>
        </row>
        <row r="497">
          <cell r="KR497" t="str">
            <v>x</v>
          </cell>
        </row>
        <row r="497">
          <cell r="KX497" t="str">
            <v>Y</v>
          </cell>
        </row>
        <row r="497">
          <cell r="KZ497" t="str">
            <v>x</v>
          </cell>
        </row>
        <row r="497">
          <cell r="LB497" t="str">
            <v>x</v>
          </cell>
          <cell r="LC497" t="str">
            <v>x</v>
          </cell>
          <cell r="LD497" t="str">
            <v>x</v>
          </cell>
          <cell r="LE497" t="str">
            <v>x</v>
          </cell>
          <cell r="LF497" t="str">
            <v>x</v>
          </cell>
        </row>
        <row r="497">
          <cell r="VV497" t="str">
            <v>legal</v>
          </cell>
        </row>
        <row r="498">
          <cell r="A498" t="str">
            <v>legal 497</v>
          </cell>
        </row>
        <row r="498">
          <cell r="C498" t="str">
            <v>CA-066</v>
          </cell>
        </row>
        <row r="498">
          <cell r="E498" t="str">
            <v>214 Doña Rita St., Barangay 19 Caloocan City</v>
          </cell>
        </row>
        <row r="498">
          <cell r="Q498" t="str">
            <v>R</v>
          </cell>
        </row>
        <row r="498">
          <cell r="T498" t="str">
            <v>Silvederio, Anastacio</v>
          </cell>
        </row>
        <row r="498">
          <cell r="BS498" t="str">
            <v>Mixed use</v>
          </cell>
          <cell r="BT498" t="str">
            <v>Structure Owner</v>
          </cell>
        </row>
        <row r="498">
          <cell r="JR498" t="str">
            <v>Can Stay</v>
          </cell>
        </row>
        <row r="498">
          <cell r="VV498" t="str">
            <v>legal 497</v>
          </cell>
        </row>
        <row r="499">
          <cell r="A499" t="str">
            <v>isf</v>
          </cell>
        </row>
        <row r="499">
          <cell r="C499" t="str">
            <v>CA-067</v>
          </cell>
        </row>
        <row r="499">
          <cell r="E499" t="str">
            <v>214 Doña Rita St., Barangay 19 Caloocan City</v>
          </cell>
        </row>
        <row r="499">
          <cell r="Q499" t="str">
            <v>R</v>
          </cell>
        </row>
        <row r="499">
          <cell r="T499" t="str">
            <v>Dizon, Ronnie</v>
          </cell>
        </row>
        <row r="499">
          <cell r="AS499">
            <v>0.190877784805679</v>
          </cell>
        </row>
        <row r="499">
          <cell r="BS499" t="str">
            <v>Residential</v>
          </cell>
          <cell r="BT499" t="str">
            <v>Structure Owner</v>
          </cell>
        </row>
        <row r="499">
          <cell r="JP499">
            <v>300</v>
          </cell>
        </row>
        <row r="499">
          <cell r="JR499" t="str">
            <v>Can Stay (ACCESS BLOCK)</v>
          </cell>
        </row>
        <row r="499">
          <cell r="KI499" t="str">
            <v>Relocation</v>
          </cell>
        </row>
        <row r="499">
          <cell r="KL499" t="str">
            <v>NorthVille 7, Brgy. Malis, Guiguinto Bulacan</v>
          </cell>
        </row>
        <row r="499">
          <cell r="KQ499" t="str">
            <v>x</v>
          </cell>
          <cell r="KR499" t="str">
            <v>x</v>
          </cell>
          <cell r="KS499" t="str">
            <v>x</v>
          </cell>
          <cell r="KT499" t="str">
            <v>x</v>
          </cell>
          <cell r="KU499" t="str">
            <v>x</v>
          </cell>
        </row>
        <row r="500">
          <cell r="A500" t="str">
            <v>isf</v>
          </cell>
        </row>
        <row r="500">
          <cell r="C500" t="str">
            <v>CA-068</v>
          </cell>
        </row>
        <row r="500">
          <cell r="E500" t="str">
            <v>214 Doña Rita St., Barangay 19 Caloocan City</v>
          </cell>
        </row>
        <row r="500">
          <cell r="Q500" t="str">
            <v>R</v>
          </cell>
        </row>
        <row r="500">
          <cell r="T500" t="str">
            <v>Lorente, Helena</v>
          </cell>
        </row>
        <row r="500">
          <cell r="AS500">
            <v>1</v>
          </cell>
        </row>
        <row r="500">
          <cell r="BS500" t="str">
            <v>Residential</v>
          </cell>
          <cell r="BT500" t="str">
            <v>Structure Owner</v>
          </cell>
        </row>
        <row r="500">
          <cell r="JR500" t="str">
            <v>Need Displacement</v>
          </cell>
        </row>
        <row r="500">
          <cell r="KI500" t="str">
            <v>Relocation</v>
          </cell>
          <cell r="KJ500" t="str">
            <v>In City</v>
          </cell>
        </row>
        <row r="500">
          <cell r="KL500" t="str">
            <v>Disiplina Village (Brgy Bignay, Valenzuela City)</v>
          </cell>
        </row>
        <row r="500">
          <cell r="KR500" t="str">
            <v>x</v>
          </cell>
        </row>
        <row r="500">
          <cell r="KX500" t="str">
            <v>Y</v>
          </cell>
        </row>
        <row r="500">
          <cell r="KZ500" t="str">
            <v>x</v>
          </cell>
        </row>
        <row r="500">
          <cell r="LC500" t="str">
            <v>x</v>
          </cell>
        </row>
        <row r="500">
          <cell r="LE500" t="str">
            <v>x</v>
          </cell>
          <cell r="LF500" t="str">
            <v>x</v>
          </cell>
        </row>
        <row r="501">
          <cell r="A501" t="str">
            <v>isf</v>
          </cell>
        </row>
        <row r="501">
          <cell r="C501" t="str">
            <v>CA-069</v>
          </cell>
        </row>
        <row r="501">
          <cell r="E501" t="str">
            <v>214 Doña Rita St., Barangay 19 Caloocan City</v>
          </cell>
        </row>
        <row r="501">
          <cell r="Q501" t="str">
            <v>R</v>
          </cell>
        </row>
        <row r="501">
          <cell r="T501" t="str">
            <v>Cardona, Jackielou</v>
          </cell>
        </row>
        <row r="501">
          <cell r="AS501">
            <v>1</v>
          </cell>
        </row>
        <row r="501">
          <cell r="BS501" t="str">
            <v>Residential</v>
          </cell>
          <cell r="BT501" t="str">
            <v>Structure Owner</v>
          </cell>
        </row>
        <row r="501">
          <cell r="JR501" t="str">
            <v>Need Displacement</v>
          </cell>
        </row>
        <row r="501">
          <cell r="KI501" t="str">
            <v>Cash Compensation/ Balik Probinsiya Program</v>
          </cell>
        </row>
        <row r="502">
          <cell r="A502" t="str">
            <v>isf</v>
          </cell>
        </row>
        <row r="502">
          <cell r="C502" t="str">
            <v>CA-070</v>
          </cell>
        </row>
        <row r="502">
          <cell r="E502" t="str">
            <v>214 Doña Rita St., Barangay 19 Caloocan City</v>
          </cell>
        </row>
        <row r="502">
          <cell r="Q502" t="str">
            <v>R</v>
          </cell>
        </row>
        <row r="502">
          <cell r="T502" t="str">
            <v>Ahyong, Richard Christian</v>
          </cell>
        </row>
        <row r="502">
          <cell r="AS502">
            <v>0.297904761904762</v>
          </cell>
        </row>
        <row r="502">
          <cell r="BS502" t="str">
            <v>Residential</v>
          </cell>
          <cell r="BT502" t="str">
            <v>Structure Owner</v>
          </cell>
        </row>
        <row r="502">
          <cell r="JR502" t="str">
            <v>Can Stay</v>
          </cell>
        </row>
        <row r="502">
          <cell r="KI502" t="str">
            <v>Relocation</v>
          </cell>
          <cell r="KJ502" t="str">
            <v>In City</v>
          </cell>
        </row>
        <row r="502">
          <cell r="KL502" t="str">
            <v>Disiplina Village (Brgy Bignay, Valenzuela City)</v>
          </cell>
        </row>
        <row r="502">
          <cell r="KR502" t="str">
            <v>x</v>
          </cell>
        </row>
        <row r="502">
          <cell r="KX502" t="str">
            <v>Y</v>
          </cell>
        </row>
        <row r="502">
          <cell r="KZ502" t="str">
            <v>x</v>
          </cell>
        </row>
        <row r="502">
          <cell r="LB502" t="str">
            <v>x</v>
          </cell>
          <cell r="LC502" t="str">
            <v>x</v>
          </cell>
          <cell r="LD502" t="str">
            <v>x</v>
          </cell>
          <cell r="LE502" t="str">
            <v>x</v>
          </cell>
          <cell r="LF502" t="str">
            <v>x</v>
          </cell>
        </row>
        <row r="503">
          <cell r="A503" t="str">
            <v>isf</v>
          </cell>
        </row>
        <row r="503">
          <cell r="C503" t="str">
            <v>CA-071</v>
          </cell>
        </row>
        <row r="503">
          <cell r="E503" t="str">
            <v>87 Don Benito St., Barangay 21 Caloocan City</v>
          </cell>
        </row>
        <row r="503">
          <cell r="Q503" t="str">
            <v>R</v>
          </cell>
        </row>
        <row r="503">
          <cell r="T503" t="str">
            <v>Morilla, Ana</v>
          </cell>
        </row>
        <row r="503">
          <cell r="AS503">
            <v>0.163934426229508</v>
          </cell>
        </row>
        <row r="503">
          <cell r="BS503" t="str">
            <v>Residential</v>
          </cell>
          <cell r="BT503" t="str">
            <v>Structure Owner</v>
          </cell>
        </row>
        <row r="503">
          <cell r="JR503" t="str">
            <v>Can Stay (ACCESS BLOCK)</v>
          </cell>
        </row>
        <row r="504">
          <cell r="A504" t="str">
            <v>isf</v>
          </cell>
        </row>
        <row r="504">
          <cell r="C504" t="str">
            <v>CA-072</v>
          </cell>
        </row>
        <row r="504">
          <cell r="E504" t="str">
            <v>88 Don Benito St., Barangay 21 Caloocan City</v>
          </cell>
        </row>
        <row r="504">
          <cell r="Q504" t="str">
            <v>R</v>
          </cell>
        </row>
        <row r="504">
          <cell r="T504" t="str">
            <v>Aserios, Andres</v>
          </cell>
        </row>
        <row r="504">
          <cell r="AS504">
            <v>0.428571428571429</v>
          </cell>
        </row>
        <row r="504">
          <cell r="BS504" t="str">
            <v>Mixed use</v>
          </cell>
          <cell r="BT504" t="str">
            <v>Structure Owner</v>
          </cell>
        </row>
        <row r="504">
          <cell r="JR504" t="str">
            <v>Can Stay (Commercial Area/Entire Structure)</v>
          </cell>
        </row>
        <row r="504">
          <cell r="KI504" t="str">
            <v>Relocation</v>
          </cell>
          <cell r="KJ504" t="str">
            <v>Cavite</v>
          </cell>
        </row>
        <row r="504">
          <cell r="KL504" t="str">
            <v>Cavite</v>
          </cell>
        </row>
        <row r="504">
          <cell r="KQ504" t="str">
            <v>x</v>
          </cell>
          <cell r="KR504" t="str">
            <v>x</v>
          </cell>
          <cell r="KS504" t="str">
            <v>x</v>
          </cell>
          <cell r="KT504" t="str">
            <v>x</v>
          </cell>
          <cell r="KU504" t="str">
            <v>x</v>
          </cell>
        </row>
        <row r="504">
          <cell r="KX504" t="str">
            <v>Y</v>
          </cell>
        </row>
        <row r="504">
          <cell r="KZ504" t="str">
            <v>x</v>
          </cell>
          <cell r="LA504" t="str">
            <v>x</v>
          </cell>
          <cell r="LB504" t="str">
            <v>x</v>
          </cell>
          <cell r="LC504" t="str">
            <v>x</v>
          </cell>
          <cell r="LD504" t="str">
            <v>x</v>
          </cell>
          <cell r="LE504" t="str">
            <v>x</v>
          </cell>
          <cell r="LF504" t="str">
            <v>x</v>
          </cell>
        </row>
        <row r="505">
          <cell r="A505" t="str">
            <v>isf</v>
          </cell>
        </row>
        <row r="505">
          <cell r="C505" t="str">
            <v>CA-073</v>
          </cell>
        </row>
        <row r="505">
          <cell r="E505" t="str">
            <v>83 Don Benito St., Barangay 21 Caloocan City</v>
          </cell>
        </row>
        <row r="505">
          <cell r="Q505" t="str">
            <v>R</v>
          </cell>
        </row>
        <row r="505">
          <cell r="T505" t="str">
            <v>Tarlac, Priscilla</v>
          </cell>
        </row>
        <row r="505">
          <cell r="AS505">
            <v>0.512820512820513</v>
          </cell>
        </row>
        <row r="505">
          <cell r="BS505" t="str">
            <v>Mixed use</v>
          </cell>
          <cell r="BT505" t="str">
            <v>Structure Owner</v>
          </cell>
        </row>
        <row r="505">
          <cell r="JR505" t="str">
            <v>Need Displacement</v>
          </cell>
        </row>
        <row r="505">
          <cell r="KI505" t="str">
            <v>Relocation</v>
          </cell>
          <cell r="KJ505" t="str">
            <v>Bulacan</v>
          </cell>
        </row>
        <row r="505">
          <cell r="KL505" t="str">
            <v>Northville 5, Brgy Batia, Bocaue Bulacan</v>
          </cell>
        </row>
        <row r="505">
          <cell r="KX505" t="str">
            <v>Y</v>
          </cell>
        </row>
        <row r="505">
          <cell r="KZ505" t="str">
            <v>x</v>
          </cell>
        </row>
        <row r="505">
          <cell r="LB505" t="str">
            <v>x</v>
          </cell>
          <cell r="LC505" t="str">
            <v>x</v>
          </cell>
          <cell r="LD505" t="str">
            <v>x</v>
          </cell>
          <cell r="LE505" t="str">
            <v>x</v>
          </cell>
          <cell r="LF505" t="str">
            <v>x</v>
          </cell>
        </row>
        <row r="506">
          <cell r="A506" t="str">
            <v>isf</v>
          </cell>
        </row>
        <row r="506">
          <cell r="C506" t="str">
            <v>CA-074</v>
          </cell>
        </row>
        <row r="506">
          <cell r="E506" t="str">
            <v>83 Don Benito St., Barangay 21 Caloocan City</v>
          </cell>
        </row>
        <row r="506">
          <cell r="Q506" t="str">
            <v>R</v>
          </cell>
        </row>
        <row r="506">
          <cell r="T506" t="str">
            <v>Unat, Jason</v>
          </cell>
        </row>
        <row r="506">
          <cell r="AS506">
            <v>1</v>
          </cell>
        </row>
        <row r="506">
          <cell r="BS506" t="str">
            <v>Residential</v>
          </cell>
          <cell r="BT506" t="str">
            <v>Structure Owner</v>
          </cell>
        </row>
        <row r="506">
          <cell r="JR506" t="str">
            <v>Need Displacement</v>
          </cell>
        </row>
        <row r="506">
          <cell r="KI506" t="str">
            <v>Cash Compensation/ Balik Probinsiya Program</v>
          </cell>
        </row>
        <row r="507">
          <cell r="A507" t="str">
            <v>isf</v>
          </cell>
        </row>
        <row r="507">
          <cell r="C507" t="str">
            <v>CA-075</v>
          </cell>
        </row>
        <row r="507">
          <cell r="E507" t="str">
            <v>124 Don Benito St., Barangay 21, Caloocan City</v>
          </cell>
        </row>
        <row r="507">
          <cell r="Q507" t="str">
            <v>R</v>
          </cell>
        </row>
        <row r="507">
          <cell r="T507" t="str">
            <v>Ricafort, John Rogel</v>
          </cell>
        </row>
        <row r="507">
          <cell r="AS507">
            <v>0.540540540540541</v>
          </cell>
        </row>
        <row r="507">
          <cell r="BS507" t="str">
            <v>Residential</v>
          </cell>
          <cell r="BT507" t="str">
            <v>Structure Owner</v>
          </cell>
        </row>
        <row r="507">
          <cell r="JP507">
            <v>500</v>
          </cell>
        </row>
        <row r="507">
          <cell r="JR507" t="str">
            <v>Need Displacement</v>
          </cell>
        </row>
        <row r="507">
          <cell r="KI507" t="str">
            <v>Cash Compensation/ Balik Probinsiya Program</v>
          </cell>
        </row>
        <row r="508">
          <cell r="A508" t="str">
            <v>isf</v>
          </cell>
        </row>
        <row r="508">
          <cell r="C508" t="str">
            <v>CA-076</v>
          </cell>
        </row>
        <row r="508">
          <cell r="E508" t="str">
            <v>124 Don Benito St., Barangay 21, Caloocan City</v>
          </cell>
        </row>
        <row r="508">
          <cell r="Q508" t="str">
            <v>R</v>
          </cell>
        </row>
        <row r="508">
          <cell r="T508" t="str">
            <v>Ricafort, Rogelio</v>
          </cell>
        </row>
        <row r="508">
          <cell r="AS508">
            <v>0.214723926380368</v>
          </cell>
        </row>
        <row r="508">
          <cell r="BS508" t="str">
            <v>Residential</v>
          </cell>
          <cell r="BT508" t="str">
            <v>Structure Owner</v>
          </cell>
        </row>
        <row r="508">
          <cell r="JR508" t="str">
            <v>Need Displacement</v>
          </cell>
        </row>
        <row r="508">
          <cell r="KI508" t="str">
            <v>Cash Compensation/ Balik Probinsiya Program</v>
          </cell>
        </row>
        <row r="509">
          <cell r="A509" t="str">
            <v>isf</v>
          </cell>
        </row>
        <row r="509">
          <cell r="C509" t="str">
            <v>CA-076</v>
          </cell>
        </row>
        <row r="509">
          <cell r="E509" t="str">
            <v>124 Don Benito St., Barangay 21, Caloocan City</v>
          </cell>
        </row>
        <row r="509">
          <cell r="Q509" t="str">
            <v>R</v>
          </cell>
        </row>
        <row r="509">
          <cell r="T509" t="str">
            <v>Ricafort, Angelica</v>
          </cell>
        </row>
        <row r="509">
          <cell r="BS509" t="str">
            <v>Residential</v>
          </cell>
          <cell r="BT509" t="str">
            <v>Co-Owner</v>
          </cell>
        </row>
        <row r="509">
          <cell r="JR509" t="str">
            <v>Need Displacement</v>
          </cell>
        </row>
        <row r="509">
          <cell r="KI509" t="str">
            <v>Relocation</v>
          </cell>
          <cell r="KJ509" t="str">
            <v>Bulacan</v>
          </cell>
        </row>
        <row r="509">
          <cell r="KQ509" t="str">
            <v>x</v>
          </cell>
        </row>
        <row r="509">
          <cell r="KX509" t="str">
            <v>Y</v>
          </cell>
        </row>
        <row r="510">
          <cell r="A510" t="str">
            <v>isf-r</v>
          </cell>
        </row>
        <row r="510">
          <cell r="C510" t="str">
            <v>CA-077</v>
          </cell>
        </row>
        <row r="510">
          <cell r="E510" t="str">
            <v>124 Don Benito St., Barangay 21, Caloocan City</v>
          </cell>
        </row>
        <row r="510">
          <cell r="Q510" t="str">
            <v>R</v>
          </cell>
        </row>
        <row r="510">
          <cell r="T510" t="str">
            <v>Torres, Oscar</v>
          </cell>
        </row>
        <row r="510">
          <cell r="AS510">
            <v>0.333333333333333</v>
          </cell>
        </row>
        <row r="510">
          <cell r="BS510" t="str">
            <v>Residential</v>
          </cell>
          <cell r="BT510" t="str">
            <v>Structure Owner</v>
          </cell>
        </row>
        <row r="510">
          <cell r="JR510" t="str">
            <v>Need Displacement</v>
          </cell>
        </row>
        <row r="511">
          <cell r="A511" t="str">
            <v>isf</v>
          </cell>
        </row>
        <row r="511">
          <cell r="C511" t="str">
            <v>CA-078</v>
          </cell>
        </row>
        <row r="511">
          <cell r="E511" t="str">
            <v>128 Don Benito St., Barangay 21, Caloocan City</v>
          </cell>
        </row>
        <row r="511">
          <cell r="Q511" t="str">
            <v>R</v>
          </cell>
        </row>
        <row r="511">
          <cell r="T511" t="str">
            <v>Carel, Jeffrey</v>
          </cell>
        </row>
        <row r="511">
          <cell r="AS511">
            <v>0.823794212218649</v>
          </cell>
        </row>
        <row r="511">
          <cell r="BS511" t="str">
            <v>Residential</v>
          </cell>
          <cell r="BT511" t="str">
            <v>Structure Owner</v>
          </cell>
        </row>
        <row r="511">
          <cell r="JP511">
            <v>500</v>
          </cell>
        </row>
        <row r="511">
          <cell r="JR511" t="str">
            <v>Need Displacement</v>
          </cell>
        </row>
        <row r="511">
          <cell r="KI511" t="str">
            <v>Relocation</v>
          </cell>
          <cell r="KJ511" t="str">
            <v>Bulacan</v>
          </cell>
        </row>
        <row r="511">
          <cell r="KL511" t="str">
            <v>Northville 5, Brgy Batia, Bocaue Bulacan</v>
          </cell>
        </row>
        <row r="511">
          <cell r="KQ511" t="str">
            <v>x</v>
          </cell>
          <cell r="KR511" t="str">
            <v>x</v>
          </cell>
        </row>
        <row r="511">
          <cell r="KT511" t="str">
            <v>x</v>
          </cell>
          <cell r="KU511" t="str">
            <v>x</v>
          </cell>
        </row>
        <row r="511">
          <cell r="KX511" t="str">
            <v>Y</v>
          </cell>
        </row>
        <row r="511">
          <cell r="KZ511" t="str">
            <v>x</v>
          </cell>
          <cell r="LA511" t="str">
            <v>x</v>
          </cell>
          <cell r="LB511" t="str">
            <v>x</v>
          </cell>
          <cell r="LC511" t="str">
            <v>x</v>
          </cell>
          <cell r="LD511" t="str">
            <v>x</v>
          </cell>
          <cell r="LE511" t="str">
            <v>x</v>
          </cell>
          <cell r="LF511" t="str">
            <v>x</v>
          </cell>
        </row>
        <row r="512">
          <cell r="A512" t="str">
            <v>isf</v>
          </cell>
        </row>
        <row r="512">
          <cell r="C512" t="str">
            <v>CA-079</v>
          </cell>
        </row>
        <row r="512">
          <cell r="E512" t="str">
            <v>128 Don Benito St., Barangay 21, Caloocan City</v>
          </cell>
        </row>
        <row r="512">
          <cell r="Q512" t="str">
            <v>R</v>
          </cell>
        </row>
        <row r="512">
          <cell r="T512" t="str">
            <v>Ajero, Evangeline</v>
          </cell>
        </row>
        <row r="512">
          <cell r="AS512">
            <v>1</v>
          </cell>
        </row>
        <row r="512">
          <cell r="BS512" t="str">
            <v>Residential</v>
          </cell>
          <cell r="BT512" t="str">
            <v>Structure Owner</v>
          </cell>
        </row>
        <row r="512">
          <cell r="JR512" t="str">
            <v>Need Displacement</v>
          </cell>
        </row>
        <row r="512">
          <cell r="KI512" t="str">
            <v>Relocation</v>
          </cell>
          <cell r="KJ512" t="str">
            <v>Bulacan</v>
          </cell>
        </row>
        <row r="512">
          <cell r="KL512" t="str">
            <v>Northville 5, Brgy Batia, Bocaue Bulacan</v>
          </cell>
        </row>
        <row r="512">
          <cell r="KR512" t="str">
            <v>x</v>
          </cell>
        </row>
        <row r="512">
          <cell r="KX512" t="str">
            <v>Y</v>
          </cell>
        </row>
        <row r="512">
          <cell r="KZ512" t="str">
            <v>x</v>
          </cell>
        </row>
        <row r="512">
          <cell r="LB512" t="str">
            <v>x</v>
          </cell>
          <cell r="LC512" t="str">
            <v>x</v>
          </cell>
          <cell r="LD512" t="str">
            <v>x</v>
          </cell>
          <cell r="LE512" t="str">
            <v>x</v>
          </cell>
          <cell r="LF512" t="str">
            <v>x</v>
          </cell>
        </row>
        <row r="513">
          <cell r="A513" t="str">
            <v>isf</v>
          </cell>
        </row>
        <row r="513">
          <cell r="C513" t="str">
            <v>CA-080</v>
          </cell>
        </row>
        <row r="513">
          <cell r="E513" t="str">
            <v>128 Don Benito St., Barangay 21, Caloocan City</v>
          </cell>
        </row>
        <row r="513">
          <cell r="Q513" t="str">
            <v>R</v>
          </cell>
        </row>
        <row r="513">
          <cell r="T513" t="str">
            <v>Naga, Benjamin</v>
          </cell>
        </row>
        <row r="513">
          <cell r="AS513">
            <v>0.0714285714285714</v>
          </cell>
        </row>
        <row r="513">
          <cell r="BS513" t="str">
            <v>Residential</v>
          </cell>
          <cell r="BT513" t="str">
            <v>Structure Owner</v>
          </cell>
        </row>
        <row r="513">
          <cell r="JR513" t="str">
            <v>Can Stay (ACCESS BLOCK)</v>
          </cell>
        </row>
        <row r="513">
          <cell r="KI513" t="str">
            <v>Cash Compensation</v>
          </cell>
        </row>
        <row r="514">
          <cell r="A514" t="str">
            <v>isf</v>
          </cell>
        </row>
        <row r="514">
          <cell r="C514" t="str">
            <v>CA-081</v>
          </cell>
        </row>
        <row r="514">
          <cell r="E514" t="str">
            <v>119 Don Benito St., Barangay 21, Caloocan City</v>
          </cell>
        </row>
        <row r="514">
          <cell r="Q514" t="str">
            <v>R</v>
          </cell>
        </row>
        <row r="514">
          <cell r="T514" t="str">
            <v>Evangelista, Antonio</v>
          </cell>
        </row>
        <row r="514">
          <cell r="AS514">
            <v>1</v>
          </cell>
        </row>
        <row r="514">
          <cell r="BS514" t="str">
            <v>Residential</v>
          </cell>
          <cell r="BT514" t="str">
            <v>Structure Owner</v>
          </cell>
        </row>
        <row r="514">
          <cell r="JR514" t="str">
            <v>Need Displacement</v>
          </cell>
        </row>
        <row r="514">
          <cell r="KI514" t="str">
            <v>Relocation</v>
          </cell>
          <cell r="KJ514" t="str">
            <v>Bulacan</v>
          </cell>
        </row>
        <row r="514">
          <cell r="KL514" t="str">
            <v>San Jose Del Monte Heights, (Brgy. Muzon, SJDM, Bulacan)</v>
          </cell>
        </row>
        <row r="514">
          <cell r="KQ514" t="str">
            <v>x</v>
          </cell>
        </row>
        <row r="514">
          <cell r="KX514" t="str">
            <v>Y</v>
          </cell>
        </row>
        <row r="515">
          <cell r="A515" t="str">
            <v>isf</v>
          </cell>
        </row>
        <row r="515">
          <cell r="C515" t="str">
            <v>CA-082</v>
          </cell>
        </row>
        <row r="515">
          <cell r="E515" t="str">
            <v>119 Don Benito St., Barangay 21, Caloocan City</v>
          </cell>
        </row>
        <row r="515">
          <cell r="Q515" t="str">
            <v>R</v>
          </cell>
        </row>
        <row r="515">
          <cell r="T515" t="str">
            <v>Parra, Nestor Babila</v>
          </cell>
        </row>
        <row r="515">
          <cell r="AS515">
            <v>0.526315789473684</v>
          </cell>
        </row>
        <row r="515">
          <cell r="BS515" t="str">
            <v>Commercial</v>
          </cell>
          <cell r="BT515" t="str">
            <v>Commercial Tenant</v>
          </cell>
        </row>
        <row r="515">
          <cell r="JR515" t="str">
            <v>Need Displacement</v>
          </cell>
        </row>
        <row r="515">
          <cell r="VV515" t="str">
            <v>isf</v>
          </cell>
        </row>
        <row r="516">
          <cell r="A516" t="str">
            <v>legal</v>
          </cell>
        </row>
        <row r="516">
          <cell r="C516" t="str">
            <v>CA-083</v>
          </cell>
        </row>
        <row r="516">
          <cell r="E516" t="str">
            <v>183 Don Benito St., Barangay 21, Caloocan City</v>
          </cell>
        </row>
        <row r="516">
          <cell r="Q516" t="str">
            <v>R</v>
          </cell>
        </row>
        <row r="516">
          <cell r="T516" t="str">
            <v>Magtalas, Carlito</v>
          </cell>
        </row>
        <row r="516">
          <cell r="AS516">
            <v>0.1</v>
          </cell>
        </row>
        <row r="516">
          <cell r="BS516" t="str">
            <v>Residential</v>
          </cell>
          <cell r="BT516" t="str">
            <v>Structure Owner</v>
          </cell>
        </row>
        <row r="516">
          <cell r="JR516" t="str">
            <v>Can Stay</v>
          </cell>
        </row>
        <row r="516">
          <cell r="VV516" t="str">
            <v>legal</v>
          </cell>
        </row>
        <row r="517">
          <cell r="A517" t="str">
            <v>legal</v>
          </cell>
        </row>
        <row r="517">
          <cell r="C517" t="str">
            <v>CA-084</v>
          </cell>
        </row>
        <row r="517">
          <cell r="E517" t="str">
            <v>186 Don Benito St., Barangay 21, Caloocan City</v>
          </cell>
        </row>
        <row r="517">
          <cell r="Q517" t="str">
            <v>R</v>
          </cell>
        </row>
        <row r="517">
          <cell r="T517" t="str">
            <v>Jose, Mercedes</v>
          </cell>
        </row>
        <row r="517">
          <cell r="AS517">
            <v>0.470588235294118</v>
          </cell>
        </row>
        <row r="517">
          <cell r="BS517" t="str">
            <v>Residential</v>
          </cell>
          <cell r="BT517" t="str">
            <v>Structure Owner</v>
          </cell>
        </row>
        <row r="517">
          <cell r="JR517" t="str">
            <v>Need Displacement</v>
          </cell>
        </row>
        <row r="517">
          <cell r="KI517" t="str">
            <v>Relocation</v>
          </cell>
          <cell r="KJ517" t="str">
            <v>In City</v>
          </cell>
        </row>
        <row r="517">
          <cell r="KL517" t="str">
            <v>Disiplina Village (Brgy Bignay, Valenzuela City)</v>
          </cell>
        </row>
        <row r="517">
          <cell r="KR517" t="str">
            <v>x</v>
          </cell>
        </row>
        <row r="517">
          <cell r="KX517" t="str">
            <v>Y</v>
          </cell>
        </row>
        <row r="517">
          <cell r="KZ517" t="str">
            <v>x</v>
          </cell>
        </row>
        <row r="517">
          <cell r="LB517" t="str">
            <v>x</v>
          </cell>
          <cell r="LC517" t="str">
            <v>x</v>
          </cell>
          <cell r="LD517" t="str">
            <v>x</v>
          </cell>
          <cell r="LE517" t="str">
            <v>x</v>
          </cell>
          <cell r="LF517" t="str">
            <v>x</v>
          </cell>
        </row>
        <row r="517">
          <cell r="VV517" t="str">
            <v>legal</v>
          </cell>
        </row>
        <row r="518">
          <cell r="A518" t="str">
            <v>isf</v>
          </cell>
        </row>
        <row r="518">
          <cell r="C518" t="str">
            <v>CA-085</v>
          </cell>
        </row>
        <row r="518">
          <cell r="E518" t="str">
            <v>186 Don Benito St., Barangay 21, Caloocan City</v>
          </cell>
        </row>
        <row r="518">
          <cell r="Q518" t="str">
            <v>R</v>
          </cell>
        </row>
        <row r="518">
          <cell r="T518" t="str">
            <v>Udan, Jonathan</v>
          </cell>
        </row>
        <row r="518">
          <cell r="AS518">
            <v>0.518918918918919</v>
          </cell>
        </row>
        <row r="518">
          <cell r="BS518" t="str">
            <v>Residential</v>
          </cell>
          <cell r="BT518" t="str">
            <v>Structure Owner</v>
          </cell>
        </row>
        <row r="518">
          <cell r="JR518" t="str">
            <v>Need Displacement</v>
          </cell>
        </row>
        <row r="518">
          <cell r="KI518" t="str">
            <v>No Answer</v>
          </cell>
        </row>
        <row r="519">
          <cell r="A519" t="str">
            <v>isf</v>
          </cell>
        </row>
        <row r="519">
          <cell r="C519" t="str">
            <v>CA-086A</v>
          </cell>
        </row>
        <row r="519">
          <cell r="E519" t="str">
            <v>130 Don Benito St., Barangay 21, Caloocan City</v>
          </cell>
        </row>
        <row r="519">
          <cell r="Q519" t="str">
            <v>R</v>
          </cell>
        </row>
        <row r="519">
          <cell r="T519" t="str">
            <v>Santiago, Alfredo</v>
          </cell>
        </row>
        <row r="519">
          <cell r="AS519">
            <v>0.636160714285714</v>
          </cell>
        </row>
        <row r="519">
          <cell r="BS519" t="str">
            <v>Residential</v>
          </cell>
          <cell r="BT519" t="str">
            <v>Structure Owner</v>
          </cell>
        </row>
        <row r="519">
          <cell r="JP519">
            <v>1000</v>
          </cell>
        </row>
        <row r="519">
          <cell r="JR519" t="str">
            <v>Need Displacement</v>
          </cell>
        </row>
        <row r="519">
          <cell r="KI519" t="str">
            <v>Relocation</v>
          </cell>
        </row>
        <row r="519">
          <cell r="KL519" t="str">
            <v>Undecided</v>
          </cell>
        </row>
        <row r="520">
          <cell r="A520" t="str">
            <v>isf-co-519</v>
          </cell>
        </row>
        <row r="520">
          <cell r="C520" t="str">
            <v>CA-086B</v>
          </cell>
        </row>
        <row r="520">
          <cell r="E520" t="str">
            <v>130 Don Benito St., Barangay 21, Caloocan City</v>
          </cell>
        </row>
        <row r="520">
          <cell r="Q520" t="str">
            <v>R</v>
          </cell>
        </row>
        <row r="520">
          <cell r="T520" t="str">
            <v>Castro, Eloisa</v>
          </cell>
        </row>
        <row r="520">
          <cell r="BS520" t="str">
            <v>Residential</v>
          </cell>
          <cell r="BT520" t="str">
            <v>Co-Owner</v>
          </cell>
        </row>
        <row r="520">
          <cell r="JR520" t="str">
            <v>Need Displacement</v>
          </cell>
        </row>
        <row r="520">
          <cell r="KI520" t="str">
            <v>Cash Compensation/ Balik Probinsiya Program</v>
          </cell>
        </row>
        <row r="521">
          <cell r="A521" t="str">
            <v>isf-co-519</v>
          </cell>
        </row>
        <row r="521">
          <cell r="C521" t="str">
            <v>CA-086C</v>
          </cell>
        </row>
        <row r="521">
          <cell r="E521" t="str">
            <v>130 Don Benito St., Barangay 21, Caloocan City</v>
          </cell>
        </row>
        <row r="521">
          <cell r="Q521" t="str">
            <v>R</v>
          </cell>
        </row>
        <row r="521">
          <cell r="T521" t="str">
            <v>Dumalag, Joel</v>
          </cell>
        </row>
        <row r="521">
          <cell r="BS521" t="str">
            <v>Residential</v>
          </cell>
          <cell r="BT521" t="str">
            <v>Co-Owner</v>
          </cell>
        </row>
        <row r="521">
          <cell r="JR521" t="str">
            <v>Need Displacement</v>
          </cell>
        </row>
        <row r="521">
          <cell r="KI521" t="str">
            <v>Cash Compensation/ Balik Probinsiya Program</v>
          </cell>
        </row>
        <row r="522">
          <cell r="A522" t="str">
            <v>isf-co-519</v>
          </cell>
        </row>
        <row r="522">
          <cell r="C522" t="str">
            <v>CA-086D</v>
          </cell>
        </row>
        <row r="522">
          <cell r="E522" t="str">
            <v>130 Don Benito St., Barangay 21, Caloocan City</v>
          </cell>
        </row>
        <row r="522">
          <cell r="T522" t="str">
            <v>Jose, Andrea Liberan</v>
          </cell>
        </row>
        <row r="522">
          <cell r="BS522" t="str">
            <v>Residential</v>
          </cell>
          <cell r="BT522" t="str">
            <v>Structure Owner</v>
          </cell>
        </row>
        <row r="522">
          <cell r="VV522" t="str">
            <v>isf-co-519</v>
          </cell>
        </row>
        <row r="523">
          <cell r="A523" t="str">
            <v>legal</v>
          </cell>
        </row>
        <row r="523">
          <cell r="C523" t="str">
            <v>CA-087A</v>
          </cell>
        </row>
        <row r="523">
          <cell r="E523" t="str">
            <v>132 Don Benito St., Barangay 21, Caloocan City</v>
          </cell>
        </row>
        <row r="523">
          <cell r="Q523" t="str">
            <v>R</v>
          </cell>
        </row>
        <row r="523">
          <cell r="T523" t="str">
            <v>Abellana, Alisha</v>
          </cell>
        </row>
        <row r="523">
          <cell r="AS523">
            <v>0.506896551724138</v>
          </cell>
        </row>
        <row r="523">
          <cell r="BS523" t="str">
            <v>Residential</v>
          </cell>
          <cell r="BT523" t="str">
            <v>Structure Owner</v>
          </cell>
        </row>
        <row r="523">
          <cell r="JR523" t="str">
            <v>Need Displacement</v>
          </cell>
        </row>
        <row r="523">
          <cell r="KI523" t="str">
            <v>Relocation</v>
          </cell>
          <cell r="KJ523" t="str">
            <v>In City</v>
          </cell>
        </row>
        <row r="523">
          <cell r="KL523" t="str">
            <v>Disiplina Village (Brgy Bignay, Valenzuela City)</v>
          </cell>
        </row>
        <row r="523">
          <cell r="KR523" t="str">
            <v>x</v>
          </cell>
          <cell r="KS523" t="str">
            <v>x</v>
          </cell>
        </row>
        <row r="523">
          <cell r="KX523" t="str">
            <v>Y</v>
          </cell>
        </row>
        <row r="523">
          <cell r="LA523" t="str">
            <v>x</v>
          </cell>
          <cell r="LB523" t="str">
            <v>x</v>
          </cell>
        </row>
        <row r="523">
          <cell r="LF523" t="str">
            <v>x</v>
          </cell>
        </row>
        <row r="523">
          <cell r="VV523" t="str">
            <v>legal</v>
          </cell>
        </row>
        <row r="524">
          <cell r="A524" t="str">
            <v>legal-co 523</v>
          </cell>
        </row>
        <row r="524">
          <cell r="C524" t="str">
            <v>CA-087B</v>
          </cell>
        </row>
        <row r="524">
          <cell r="E524" t="str">
            <v>132 Don Benito St., Barangay 21, Caloocan City</v>
          </cell>
        </row>
        <row r="524">
          <cell r="Q524" t="str">
            <v>R</v>
          </cell>
        </row>
        <row r="524">
          <cell r="T524" t="str">
            <v>Abellana, Reynaldo</v>
          </cell>
        </row>
        <row r="524">
          <cell r="BS524" t="str">
            <v>Residential</v>
          </cell>
          <cell r="BT524" t="str">
            <v>Co-Owner</v>
          </cell>
        </row>
        <row r="524">
          <cell r="JR524" t="str">
            <v>Need Displacement</v>
          </cell>
        </row>
        <row r="524">
          <cell r="KI524" t="str">
            <v>Cash Compensation</v>
          </cell>
        </row>
        <row r="525">
          <cell r="A525" t="str">
            <v>legal</v>
          </cell>
        </row>
        <row r="525">
          <cell r="C525" t="str">
            <v>CA-088</v>
          </cell>
        </row>
        <row r="525">
          <cell r="E525" t="str">
            <v>Don Benito St., Barangay 21, Caloocan City</v>
          </cell>
        </row>
        <row r="525">
          <cell r="Q525" t="str">
            <v>R</v>
          </cell>
        </row>
        <row r="525">
          <cell r="T525" t="str">
            <v>Manansala, Remedios</v>
          </cell>
        </row>
        <row r="525">
          <cell r="AS525">
            <v>0.295191375278079</v>
          </cell>
        </row>
        <row r="525">
          <cell r="BS525" t="str">
            <v>Residential</v>
          </cell>
          <cell r="BT525" t="str">
            <v>Structure Owner</v>
          </cell>
        </row>
        <row r="525">
          <cell r="JR525" t="str">
            <v>Need Displacement</v>
          </cell>
        </row>
        <row r="525">
          <cell r="VV525" t="str">
            <v>legal</v>
          </cell>
        </row>
        <row r="526">
          <cell r="A526" t="str">
            <v>legal</v>
          </cell>
        </row>
        <row r="526">
          <cell r="C526" t="str">
            <v>CA-089B</v>
          </cell>
        </row>
        <row r="526">
          <cell r="E526" t="str">
            <v>376 Don Benito St., Barangay 21 Zone 2, Caloocan City</v>
          </cell>
        </row>
        <row r="526">
          <cell r="Q526" t="str">
            <v>R</v>
          </cell>
        </row>
        <row r="526">
          <cell r="T526" t="str">
            <v>Pascual, Vicente</v>
          </cell>
        </row>
        <row r="526">
          <cell r="BS526" t="str">
            <v>Residential</v>
          </cell>
          <cell r="BT526" t="str">
            <v>Structure Owner</v>
          </cell>
        </row>
        <row r="526">
          <cell r="JR526" t="str">
            <v>Need Displacement</v>
          </cell>
        </row>
        <row r="526">
          <cell r="KG526">
            <v>2000</v>
          </cell>
        </row>
        <row r="526">
          <cell r="KI526" t="str">
            <v>Cash Compensation</v>
          </cell>
        </row>
        <row r="526">
          <cell r="VV526" t="str">
            <v>legal</v>
          </cell>
        </row>
        <row r="527">
          <cell r="A527" t="str">
            <v>legal 526</v>
          </cell>
        </row>
        <row r="527">
          <cell r="C527" t="str">
            <v>CA-089A</v>
          </cell>
        </row>
        <row r="527">
          <cell r="E527" t="str">
            <v>376 Don Benito St., Barangay 21 Zone 2, Caloocan City</v>
          </cell>
        </row>
        <row r="527">
          <cell r="Q527" t="str">
            <v>R</v>
          </cell>
        </row>
        <row r="527">
          <cell r="T527" t="str">
            <v>Pascual, Mario</v>
          </cell>
        </row>
        <row r="527">
          <cell r="BS527" t="str">
            <v>Residential</v>
          </cell>
          <cell r="BT527" t="str">
            <v>Co-Owner</v>
          </cell>
        </row>
        <row r="527">
          <cell r="JR527" t="str">
            <v>Need Displacement</v>
          </cell>
        </row>
        <row r="527">
          <cell r="KI527" t="str">
            <v>Cash Compensation</v>
          </cell>
        </row>
        <row r="528">
          <cell r="A528" t="str">
            <v>legal</v>
          </cell>
        </row>
        <row r="528">
          <cell r="C528" t="str">
            <v>CA-090</v>
          </cell>
        </row>
        <row r="528">
          <cell r="E528" t="str">
            <v>375 Don Benito St., Barangay 21, Caloocan City</v>
          </cell>
        </row>
        <row r="528">
          <cell r="Q528" t="str">
            <v>R</v>
          </cell>
        </row>
        <row r="528">
          <cell r="T528" t="str">
            <v>Espino, Gloria</v>
          </cell>
        </row>
        <row r="528">
          <cell r="AS528">
            <v>0.313155136268344</v>
          </cell>
        </row>
        <row r="528">
          <cell r="BS528" t="str">
            <v>Mixed use</v>
          </cell>
          <cell r="BT528" t="str">
            <v>Structure Owner</v>
          </cell>
        </row>
        <row r="528">
          <cell r="JR528" t="str">
            <v>Need Displacement</v>
          </cell>
        </row>
        <row r="528">
          <cell r="KI528" t="str">
            <v>Relocation</v>
          </cell>
          <cell r="KJ528" t="str">
            <v>In City</v>
          </cell>
        </row>
        <row r="528">
          <cell r="KL528" t="str">
            <v>Disiplina Village (Brgy Bignay, Valenzuela City)</v>
          </cell>
        </row>
        <row r="528">
          <cell r="KX528" t="str">
            <v>Not Sure</v>
          </cell>
        </row>
        <row r="528">
          <cell r="LA528" t="str">
            <v>x</v>
          </cell>
          <cell r="LB528" t="str">
            <v>x</v>
          </cell>
        </row>
        <row r="528">
          <cell r="LD528" t="str">
            <v>x</v>
          </cell>
        </row>
        <row r="528">
          <cell r="VV528" t="str">
            <v>legal</v>
          </cell>
        </row>
        <row r="529">
          <cell r="A529" t="str">
            <v>legal 528</v>
          </cell>
        </row>
        <row r="529">
          <cell r="C529" t="str">
            <v>CA-090</v>
          </cell>
        </row>
        <row r="529">
          <cell r="E529" t="str">
            <v>375 Don Benito St., Barangay 21, Caloocan City</v>
          </cell>
        </row>
        <row r="529">
          <cell r="Q529" t="str">
            <v>R</v>
          </cell>
        </row>
        <row r="529">
          <cell r="T529" t="str">
            <v>Domagsang, Marie Jannette</v>
          </cell>
        </row>
        <row r="529">
          <cell r="BS529" t="str">
            <v>Mixed use</v>
          </cell>
          <cell r="BT529" t="str">
            <v>Commercial Tenant</v>
          </cell>
        </row>
        <row r="529">
          <cell r="JR529" t="str">
            <v>Need Displacement</v>
          </cell>
        </row>
        <row r="529">
          <cell r="KI529" t="str">
            <v>Relocation</v>
          </cell>
          <cell r="KJ529" t="str">
            <v>In City</v>
          </cell>
        </row>
        <row r="529">
          <cell r="KL529" t="str">
            <v>Disiplina Village (Brgy Bignay, Valenzuela City)</v>
          </cell>
        </row>
        <row r="529">
          <cell r="KQ529" t="str">
            <v>x</v>
          </cell>
          <cell r="KR529" t="str">
            <v>x</v>
          </cell>
          <cell r="KS529" t="str">
            <v>x</v>
          </cell>
          <cell r="KT529" t="str">
            <v>x</v>
          </cell>
          <cell r="KU529" t="str">
            <v>x</v>
          </cell>
        </row>
        <row r="529">
          <cell r="KX529" t="str">
            <v>Y</v>
          </cell>
        </row>
        <row r="529">
          <cell r="KZ529" t="str">
            <v>x</v>
          </cell>
          <cell r="LA529" t="str">
            <v>x</v>
          </cell>
          <cell r="LB529" t="str">
            <v>x</v>
          </cell>
          <cell r="LC529" t="str">
            <v>x</v>
          </cell>
          <cell r="LD529" t="str">
            <v>x</v>
          </cell>
          <cell r="LE529" t="str">
            <v>x</v>
          </cell>
          <cell r="LF529" t="str">
            <v>x</v>
          </cell>
        </row>
        <row r="529">
          <cell r="VV529" t="str">
            <v>legal 528</v>
          </cell>
        </row>
        <row r="530">
          <cell r="A530" t="str">
            <v>legal</v>
          </cell>
        </row>
        <row r="530">
          <cell r="C530" t="str">
            <v>CA-091</v>
          </cell>
        </row>
        <row r="530">
          <cell r="E530" t="str">
            <v>301 Don Benito St., Barangay 21, Caloocan City</v>
          </cell>
        </row>
        <row r="530">
          <cell r="Q530" t="str">
            <v>R</v>
          </cell>
        </row>
        <row r="530">
          <cell r="AS530">
            <v>0.15</v>
          </cell>
        </row>
        <row r="530">
          <cell r="BS530" t="str">
            <v>Mixed use</v>
          </cell>
          <cell r="BT530" t="str">
            <v>Structure Owner</v>
          </cell>
        </row>
        <row r="530">
          <cell r="VV530" t="str">
            <v>legal</v>
          </cell>
        </row>
        <row r="531">
          <cell r="A531" t="str">
            <v>legal 530</v>
          </cell>
        </row>
        <row r="531">
          <cell r="C531" t="str">
            <v>CA-091</v>
          </cell>
        </row>
        <row r="531">
          <cell r="E531" t="str">
            <v>301 Don Benito St., Barangay 21, Caloocan City</v>
          </cell>
        </row>
        <row r="531">
          <cell r="Q531" t="str">
            <v>R</v>
          </cell>
        </row>
        <row r="531">
          <cell r="T531" t="str">
            <v>Dela Cruz , Gerry</v>
          </cell>
        </row>
        <row r="531">
          <cell r="BS531" t="str">
            <v>Mixed use</v>
          </cell>
          <cell r="BT531" t="str">
            <v>Co-Owner</v>
          </cell>
        </row>
        <row r="531">
          <cell r="JR531" t="str">
            <v>Can Stay (ACCESS BLOCK)</v>
          </cell>
        </row>
        <row r="531">
          <cell r="VV531" t="str">
            <v>legal 530</v>
          </cell>
        </row>
        <row r="532">
          <cell r="A532" t="str">
            <v>isf</v>
          </cell>
        </row>
        <row r="532">
          <cell r="C532" t="str">
            <v>CA-092</v>
          </cell>
        </row>
        <row r="532">
          <cell r="E532" t="str">
            <v>300 Don Benito St., Barangay 21, Caloocan City</v>
          </cell>
        </row>
        <row r="532">
          <cell r="Q532" t="str">
            <v>R</v>
          </cell>
        </row>
        <row r="532">
          <cell r="T532" t="str">
            <v>De Leon, Romeo</v>
          </cell>
        </row>
        <row r="532">
          <cell r="AS532">
            <v>0.681818181818182</v>
          </cell>
        </row>
        <row r="532">
          <cell r="BS532" t="str">
            <v>Residential</v>
          </cell>
          <cell r="BT532" t="str">
            <v>Structure Owner</v>
          </cell>
        </row>
        <row r="532">
          <cell r="JR532" t="str">
            <v>Need Displacement</v>
          </cell>
        </row>
        <row r="532">
          <cell r="KI532" t="str">
            <v>Cash Compensation/ Balik Probinsiya Program</v>
          </cell>
        </row>
        <row r="533">
          <cell r="A533" t="str">
            <v>legal</v>
          </cell>
        </row>
        <row r="533">
          <cell r="C533" t="str">
            <v>CA-093</v>
          </cell>
        </row>
        <row r="533">
          <cell r="E533" t="str">
            <v>300 Don Benito St., Barangay 21, Caloocan City</v>
          </cell>
        </row>
        <row r="533">
          <cell r="Q533" t="str">
            <v>R</v>
          </cell>
        </row>
        <row r="533">
          <cell r="T533" t="str">
            <v>Ico, Ofelia</v>
          </cell>
        </row>
        <row r="533">
          <cell r="AS533">
            <v>0.5</v>
          </cell>
        </row>
        <row r="533">
          <cell r="BS533" t="str">
            <v>Residential</v>
          </cell>
          <cell r="BT533" t="str">
            <v>Structure Owner</v>
          </cell>
        </row>
        <row r="533">
          <cell r="JR533" t="str">
            <v>Need Displacement</v>
          </cell>
        </row>
        <row r="533">
          <cell r="KG533">
            <v>1500</v>
          </cell>
        </row>
        <row r="533">
          <cell r="VV533" t="str">
            <v>legal</v>
          </cell>
        </row>
        <row r="534">
          <cell r="A534" t="str">
            <v>legal-r 533</v>
          </cell>
        </row>
        <row r="534">
          <cell r="C534" t="str">
            <v>CA-093</v>
          </cell>
        </row>
        <row r="534">
          <cell r="E534" t="str">
            <v>300 Don Benito St., Barangay 21, Caloocan City</v>
          </cell>
        </row>
        <row r="534">
          <cell r="T534" t="str">
            <v>Ronald Estrologo</v>
          </cell>
        </row>
        <row r="534">
          <cell r="BS534" t="str">
            <v>Residential</v>
          </cell>
          <cell r="BT534" t="str">
            <v>Structure Renter</v>
          </cell>
        </row>
        <row r="534">
          <cell r="VV534" t="str">
            <v>legal-r 533</v>
          </cell>
        </row>
        <row r="535">
          <cell r="A535" t="str">
            <v>isf</v>
          </cell>
        </row>
        <row r="535">
          <cell r="C535" t="str">
            <v>CA-094</v>
          </cell>
        </row>
        <row r="535">
          <cell r="E535" t="str">
            <v>116 Don Benito St., Barangay 21, Caloocan City</v>
          </cell>
        </row>
        <row r="535">
          <cell r="Q535" t="str">
            <v>R</v>
          </cell>
        </row>
        <row r="535">
          <cell r="T535" t="str">
            <v>Norberte, Rodelyn</v>
          </cell>
        </row>
        <row r="535">
          <cell r="AS535">
            <v>0.195852534562212</v>
          </cell>
        </row>
        <row r="535">
          <cell r="BS535" t="str">
            <v>Residential</v>
          </cell>
          <cell r="BT535" t="str">
            <v>Structure Owner</v>
          </cell>
        </row>
        <row r="535">
          <cell r="JR535" t="str">
            <v>Can Stay</v>
          </cell>
        </row>
        <row r="536">
          <cell r="A536" t="str">
            <v>isf</v>
          </cell>
        </row>
        <row r="536">
          <cell r="C536" t="str">
            <v>CA-095</v>
          </cell>
        </row>
        <row r="536">
          <cell r="E536" t="str">
            <v>162 Interior 19 Don Benito St., Barangay 21, Caloocan City</v>
          </cell>
        </row>
        <row r="536">
          <cell r="Q536" t="str">
            <v>R</v>
          </cell>
        </row>
        <row r="536">
          <cell r="T536" t="str">
            <v>Velasco, Ryan (ND)</v>
          </cell>
        </row>
        <row r="536">
          <cell r="AS536">
            <v>0.339285714285714</v>
          </cell>
        </row>
        <row r="536">
          <cell r="BS536" t="str">
            <v>Residential</v>
          </cell>
          <cell r="BT536" t="str">
            <v>Structure Owner</v>
          </cell>
        </row>
        <row r="536">
          <cell r="JR536" t="str">
            <v>Can Stay</v>
          </cell>
        </row>
        <row r="536">
          <cell r="KI536" t="str">
            <v>Non-dwelling (under construction)</v>
          </cell>
        </row>
        <row r="537">
          <cell r="A537" t="str">
            <v>legal</v>
          </cell>
        </row>
        <row r="537">
          <cell r="C537" t="str">
            <v>CA-096</v>
          </cell>
        </row>
        <row r="537">
          <cell r="E537" t="str">
            <v>117 Interior 19 Laon Laan St., Barangay 21 Caloocan City</v>
          </cell>
        </row>
        <row r="537">
          <cell r="Q537" t="str">
            <v>R</v>
          </cell>
        </row>
        <row r="537">
          <cell r="T537" t="str">
            <v>Cabel, Danilo</v>
          </cell>
        </row>
        <row r="537">
          <cell r="AS537">
            <v>1</v>
          </cell>
        </row>
        <row r="537">
          <cell r="BS537" t="str">
            <v>Residential</v>
          </cell>
          <cell r="BT537" t="str">
            <v>Structure Owner</v>
          </cell>
        </row>
        <row r="537">
          <cell r="JR537" t="str">
            <v>Need Displacement</v>
          </cell>
        </row>
        <row r="537">
          <cell r="KI537" t="str">
            <v>Relocation</v>
          </cell>
          <cell r="KJ537" t="str">
            <v>In City</v>
          </cell>
        </row>
        <row r="537">
          <cell r="KL537" t="str">
            <v>Disiplina Village (Brgy Bignay, Valenzuela City)</v>
          </cell>
        </row>
        <row r="537">
          <cell r="KR537" t="str">
            <v>x</v>
          </cell>
        </row>
        <row r="537">
          <cell r="KX537" t="str">
            <v>Y</v>
          </cell>
        </row>
        <row r="537">
          <cell r="KZ537" t="str">
            <v>x</v>
          </cell>
        </row>
        <row r="537">
          <cell r="LC537" t="str">
            <v>x</v>
          </cell>
          <cell r="LD537" t="str">
            <v>x</v>
          </cell>
          <cell r="LE537" t="str">
            <v>x</v>
          </cell>
          <cell r="LF537" t="str">
            <v>x</v>
          </cell>
        </row>
        <row r="538">
          <cell r="A538" t="str">
            <v>legal</v>
          </cell>
        </row>
        <row r="538">
          <cell r="C538" t="str">
            <v>CA-097</v>
          </cell>
        </row>
        <row r="538">
          <cell r="E538" t="str">
            <v>117 Interior 19 Laon Laan St., Barangay 21 Caloocan City</v>
          </cell>
        </row>
        <row r="538">
          <cell r="Q538" t="str">
            <v>R</v>
          </cell>
        </row>
        <row r="538">
          <cell r="T538" t="str">
            <v>Limpin, Vergilio</v>
          </cell>
        </row>
        <row r="538">
          <cell r="AS538">
            <v>1</v>
          </cell>
        </row>
        <row r="538">
          <cell r="BS538" t="str">
            <v>Residential</v>
          </cell>
          <cell r="BT538" t="str">
            <v>Structure Owner</v>
          </cell>
        </row>
        <row r="538">
          <cell r="JR538" t="str">
            <v>Need Displacement</v>
          </cell>
        </row>
        <row r="538">
          <cell r="KI538" t="str">
            <v>Relocation</v>
          </cell>
          <cell r="KJ538" t="str">
            <v>In City</v>
          </cell>
        </row>
        <row r="538">
          <cell r="KL538" t="str">
            <v>Disiplina Village (Brgy Bignay, Valenzuela City)</v>
          </cell>
        </row>
        <row r="538">
          <cell r="KQ538" t="str">
            <v>x</v>
          </cell>
        </row>
        <row r="538">
          <cell r="KX538" t="str">
            <v>Y</v>
          </cell>
        </row>
        <row r="538">
          <cell r="KZ538" t="str">
            <v>x</v>
          </cell>
          <cell r="LA538" t="str">
            <v>x</v>
          </cell>
          <cell r="LB538" t="str">
            <v>x</v>
          </cell>
        </row>
        <row r="538">
          <cell r="LD538" t="str">
            <v>x</v>
          </cell>
        </row>
        <row r="538">
          <cell r="VV538" t="str">
            <v>legal</v>
          </cell>
        </row>
        <row r="539">
          <cell r="A539" t="str">
            <v>legal</v>
          </cell>
        </row>
        <row r="539">
          <cell r="C539" t="str">
            <v>CA-098</v>
          </cell>
        </row>
        <row r="539">
          <cell r="E539" t="str">
            <v>117 Interior 19 Laon Laan St., Barangay 21 Caloocan City</v>
          </cell>
        </row>
        <row r="539">
          <cell r="Q539" t="str">
            <v>R</v>
          </cell>
        </row>
        <row r="539">
          <cell r="T539" t="str">
            <v>Dioquino, Victoria</v>
          </cell>
        </row>
        <row r="539">
          <cell r="AS539">
            <v>0.361344537815126</v>
          </cell>
        </row>
        <row r="539">
          <cell r="BS539" t="str">
            <v>Residential</v>
          </cell>
          <cell r="BT539" t="str">
            <v>Structure Owner</v>
          </cell>
        </row>
        <row r="539">
          <cell r="JR539" t="str">
            <v>Need Displacement</v>
          </cell>
        </row>
        <row r="539">
          <cell r="KI539" t="str">
            <v>Relocation</v>
          </cell>
          <cell r="KJ539" t="str">
            <v>Bulacan</v>
          </cell>
        </row>
        <row r="539">
          <cell r="KX539" t="str">
            <v>Y</v>
          </cell>
        </row>
        <row r="539">
          <cell r="LB539" t="str">
            <v>x</v>
          </cell>
        </row>
        <row r="539">
          <cell r="LE539" t="str">
            <v>x</v>
          </cell>
          <cell r="LF539" t="str">
            <v>x</v>
          </cell>
        </row>
        <row r="539">
          <cell r="VV539" t="str">
            <v>legal</v>
          </cell>
        </row>
        <row r="540">
          <cell r="A540" t="str">
            <v>legal</v>
          </cell>
        </row>
        <row r="540">
          <cell r="C540" t="str">
            <v>CA-099</v>
          </cell>
        </row>
        <row r="540">
          <cell r="E540" t="str">
            <v>117 Interior 19 Laon Laan St., Barangay 21 Caloocan City</v>
          </cell>
        </row>
        <row r="540">
          <cell r="Q540" t="str">
            <v>R</v>
          </cell>
        </row>
        <row r="540">
          <cell r="T540" t="str">
            <v>Limpin, Merlyn</v>
          </cell>
        </row>
        <row r="540">
          <cell r="AS540">
            <v>0.425806451612903</v>
          </cell>
        </row>
        <row r="540">
          <cell r="BS540" t="str">
            <v>Residential</v>
          </cell>
          <cell r="BT540" t="str">
            <v>Structure Owner</v>
          </cell>
        </row>
        <row r="540">
          <cell r="JR540" t="str">
            <v>Need Displacement</v>
          </cell>
        </row>
        <row r="540">
          <cell r="KI540" t="str">
            <v>Cash Compensation</v>
          </cell>
        </row>
        <row r="541">
          <cell r="A541" t="str">
            <v>isf</v>
          </cell>
        </row>
        <row r="541">
          <cell r="C541" t="str">
            <v>CA-100</v>
          </cell>
        </row>
        <row r="541">
          <cell r="E541" t="str">
            <v>121 Laon Laan St., Barangay 21 Caloocan City</v>
          </cell>
        </row>
        <row r="541">
          <cell r="Q541" t="str">
            <v>R</v>
          </cell>
        </row>
        <row r="541">
          <cell r="T541" t="str">
            <v>Manzo, Amelia</v>
          </cell>
        </row>
        <row r="541">
          <cell r="AS541">
            <v>0.732558139534884</v>
          </cell>
        </row>
        <row r="541">
          <cell r="BS541" t="str">
            <v>Residential</v>
          </cell>
          <cell r="BT541" t="str">
            <v>Structure Owner</v>
          </cell>
        </row>
        <row r="541">
          <cell r="JR541" t="str">
            <v>Need Displacement</v>
          </cell>
        </row>
        <row r="541">
          <cell r="KI541" t="str">
            <v>Cash Compensation/ Balik Probinsiya Program</v>
          </cell>
        </row>
        <row r="542">
          <cell r="A542" t="str">
            <v>isf</v>
          </cell>
        </row>
        <row r="542">
          <cell r="C542" t="str">
            <v>CA-101</v>
          </cell>
        </row>
        <row r="542">
          <cell r="E542" t="str">
            <v>121 Laon Laan St., Barangay 21 Caloocan City</v>
          </cell>
        </row>
        <row r="542">
          <cell r="Q542" t="str">
            <v>R</v>
          </cell>
        </row>
        <row r="542">
          <cell r="T542" t="str">
            <v>Cruz, Arnold</v>
          </cell>
        </row>
        <row r="542">
          <cell r="AS542">
            <v>0.0428571428571429</v>
          </cell>
        </row>
        <row r="542">
          <cell r="BS542" t="str">
            <v>Residential</v>
          </cell>
          <cell r="BT542" t="str">
            <v>Structure Owner</v>
          </cell>
        </row>
        <row r="542">
          <cell r="JR542" t="str">
            <v>Can Stay</v>
          </cell>
        </row>
        <row r="543">
          <cell r="A543" t="str">
            <v>legal</v>
          </cell>
        </row>
        <row r="543">
          <cell r="C543" t="str">
            <v>CA-102</v>
          </cell>
        </row>
        <row r="543">
          <cell r="E543" t="str">
            <v>121 Laon Laan St., Barangay 21 Caloocan City</v>
          </cell>
        </row>
        <row r="543">
          <cell r="Q543" t="str">
            <v>R</v>
          </cell>
        </row>
        <row r="543">
          <cell r="T543" t="str">
            <v>Cruz, Anselmo</v>
          </cell>
        </row>
        <row r="543">
          <cell r="AS543">
            <v>0.0317310713163682</v>
          </cell>
        </row>
        <row r="543">
          <cell r="BS543" t="str">
            <v>Residential</v>
          </cell>
          <cell r="BT543" t="str">
            <v>Structure Owner</v>
          </cell>
        </row>
        <row r="543">
          <cell r="JR543" t="str">
            <v>Can Stay</v>
          </cell>
        </row>
        <row r="543">
          <cell r="VV543" t="str">
            <v>legal</v>
          </cell>
        </row>
        <row r="544">
          <cell r="A544" t="str">
            <v>legal</v>
          </cell>
        </row>
        <row r="544">
          <cell r="C544" t="str">
            <v>CA-103</v>
          </cell>
        </row>
        <row r="544">
          <cell r="E544" t="str">
            <v>122 Laon Laan St., Sampalukan, Barangay 25 Caloocan City</v>
          </cell>
        </row>
        <row r="544">
          <cell r="Q544" t="str">
            <v>R</v>
          </cell>
        </row>
        <row r="544">
          <cell r="T544" t="str">
            <v>Mangubat, Fernando</v>
          </cell>
        </row>
        <row r="544">
          <cell r="AS544">
            <v>0.65625</v>
          </cell>
        </row>
        <row r="544">
          <cell r="BS544" t="str">
            <v>Residential</v>
          </cell>
          <cell r="BT544" t="str">
            <v>Sharer</v>
          </cell>
        </row>
        <row r="544">
          <cell r="KI544" t="str">
            <v>Cash Compensation</v>
          </cell>
        </row>
        <row r="544">
          <cell r="VV544" t="str">
            <v>legal</v>
          </cell>
        </row>
        <row r="545">
          <cell r="A545" t="str">
            <v>legal 544</v>
          </cell>
        </row>
        <row r="545">
          <cell r="C545" t="str">
            <v>CA-103B</v>
          </cell>
        </row>
        <row r="545">
          <cell r="E545" t="str">
            <v>122 Laon Laan St., Sampalukan, Barangay 25 Caloocan City</v>
          </cell>
        </row>
        <row r="545">
          <cell r="Q545" t="str">
            <v>R</v>
          </cell>
        </row>
        <row r="545">
          <cell r="T545" t="str">
            <v>Resurreccion, Ryan</v>
          </cell>
        </row>
        <row r="545">
          <cell r="BS545" t="str">
            <v>Residential</v>
          </cell>
          <cell r="BT545" t="str">
            <v>Structure Owner</v>
          </cell>
        </row>
        <row r="545">
          <cell r="JR545" t="str">
            <v>Need Displacement</v>
          </cell>
        </row>
        <row r="545">
          <cell r="KI545" t="str">
            <v>Cash Compensation</v>
          </cell>
        </row>
        <row r="545">
          <cell r="VV545" t="str">
            <v>legal 544</v>
          </cell>
        </row>
        <row r="546">
          <cell r="A546" t="str">
            <v>legal-sh 544</v>
          </cell>
        </row>
        <row r="546">
          <cell r="C546" t="str">
            <v>CA-103C</v>
          </cell>
        </row>
        <row r="546">
          <cell r="E546" t="str">
            <v>122 Laon Laan St., Sampalukan, Barangay 25 Caloocan City</v>
          </cell>
        </row>
        <row r="546">
          <cell r="Q546" t="str">
            <v>R</v>
          </cell>
        </row>
        <row r="546">
          <cell r="T546" t="str">
            <v>Mangubat, Ricardo</v>
          </cell>
        </row>
        <row r="546">
          <cell r="BS546" t="str">
            <v>Residential</v>
          </cell>
          <cell r="BT546" t="str">
            <v>Sharer</v>
          </cell>
        </row>
        <row r="546">
          <cell r="KI546" t="str">
            <v>Cash Compensation</v>
          </cell>
        </row>
        <row r="546">
          <cell r="VV546" t="str">
            <v>legal-sh 544</v>
          </cell>
        </row>
        <row r="547">
          <cell r="A547" t="str">
            <v>legal</v>
          </cell>
        </row>
        <row r="547">
          <cell r="C547" t="str">
            <v>CA-104</v>
          </cell>
        </row>
        <row r="547">
          <cell r="E547" t="str">
            <v>450 Laon Laan St., Baangay 25 Caloocan City</v>
          </cell>
        </row>
        <row r="547">
          <cell r="Q547" t="str">
            <v>R</v>
          </cell>
        </row>
        <row r="547">
          <cell r="T547" t="str">
            <v>Ablen, Iluminado</v>
          </cell>
        </row>
        <row r="547">
          <cell r="AS547">
            <v>0.245498462889767</v>
          </cell>
        </row>
        <row r="547">
          <cell r="BS547" t="str">
            <v>Residential</v>
          </cell>
          <cell r="BT547" t="str">
            <v>Structure Owner</v>
          </cell>
        </row>
        <row r="547">
          <cell r="JR547" t="str">
            <v>Need Displacement</v>
          </cell>
        </row>
        <row r="547">
          <cell r="KI547" t="str">
            <v>Cash Compensation</v>
          </cell>
        </row>
        <row r="547">
          <cell r="VV547" t="str">
            <v>legal</v>
          </cell>
        </row>
        <row r="548">
          <cell r="A548" t="str">
            <v>isf</v>
          </cell>
        </row>
        <row r="548">
          <cell r="C548" t="str">
            <v>CA-105</v>
          </cell>
        </row>
        <row r="548">
          <cell r="E548" t="str">
            <v>450 Laon Laan St., Baangay 25 Caloocan City</v>
          </cell>
        </row>
        <row r="548">
          <cell r="Q548" t="str">
            <v>R</v>
          </cell>
        </row>
        <row r="548">
          <cell r="T548" t="str">
            <v>Sambayon, Anna Rose</v>
          </cell>
        </row>
        <row r="548">
          <cell r="AS548">
            <v>0.15632183908046</v>
          </cell>
        </row>
        <row r="548">
          <cell r="BS548" t="str">
            <v>Residential</v>
          </cell>
          <cell r="BT548" t="str">
            <v>Structure Owner</v>
          </cell>
        </row>
        <row r="548">
          <cell r="JR548" t="str">
            <v>Can Stay</v>
          </cell>
        </row>
        <row r="548">
          <cell r="KI548" t="str">
            <v>Relocation</v>
          </cell>
          <cell r="KJ548" t="str">
            <v>Bulacan</v>
          </cell>
        </row>
        <row r="548">
          <cell r="KL548" t="str">
            <v>Disiplina Village (Brgy Bignay, Valenzuela City)</v>
          </cell>
        </row>
        <row r="548">
          <cell r="KQ548" t="str">
            <v>x</v>
          </cell>
          <cell r="KR548" t="str">
            <v>x</v>
          </cell>
          <cell r="KS548" t="str">
            <v>x</v>
          </cell>
          <cell r="KT548" t="str">
            <v>x</v>
          </cell>
          <cell r="KU548" t="str">
            <v>x</v>
          </cell>
        </row>
        <row r="548">
          <cell r="KX548" t="str">
            <v>Y</v>
          </cell>
        </row>
        <row r="548">
          <cell r="KZ548" t="str">
            <v>x</v>
          </cell>
        </row>
        <row r="548">
          <cell r="LB548" t="str">
            <v>x</v>
          </cell>
        </row>
        <row r="548">
          <cell r="LD548" t="str">
            <v>x</v>
          </cell>
        </row>
        <row r="548">
          <cell r="LF548" t="str">
            <v>x</v>
          </cell>
        </row>
        <row r="549">
          <cell r="A549" t="str">
            <v>isf</v>
          </cell>
        </row>
        <row r="549">
          <cell r="C549" t="str">
            <v>CA-106</v>
          </cell>
        </row>
        <row r="549">
          <cell r="E549" t="str">
            <v>450 Laon Laan St., Baangay 25 Caloocan City</v>
          </cell>
        </row>
        <row r="549">
          <cell r="Q549" t="str">
            <v>R</v>
          </cell>
        </row>
        <row r="549">
          <cell r="T549" t="str">
            <v>Orito, Aurea</v>
          </cell>
        </row>
        <row r="549">
          <cell r="BS549" t="str">
            <v>Residential</v>
          </cell>
          <cell r="BT549" t="str">
            <v>Structure Owner</v>
          </cell>
        </row>
        <row r="549">
          <cell r="JR549" t="str">
            <v>Can Stay</v>
          </cell>
        </row>
        <row r="549">
          <cell r="KI549" t="str">
            <v>Relocation</v>
          </cell>
          <cell r="KJ549" t="str">
            <v>In city</v>
          </cell>
        </row>
        <row r="549">
          <cell r="KL549" t="str">
            <v>Disiplina Village (Brgy Bignay, Valenzuela City)</v>
          </cell>
        </row>
        <row r="549">
          <cell r="KR549" t="str">
            <v>x</v>
          </cell>
        </row>
        <row r="549">
          <cell r="KX549" t="str">
            <v>Y</v>
          </cell>
        </row>
        <row r="549">
          <cell r="KZ549" t="str">
            <v>x</v>
          </cell>
          <cell r="LA549" t="str">
            <v>x</v>
          </cell>
          <cell r="LB549" t="str">
            <v>x</v>
          </cell>
          <cell r="LC549" t="str">
            <v>x</v>
          </cell>
          <cell r="LD549" t="str">
            <v>x</v>
          </cell>
          <cell r="LE549" t="str">
            <v>x</v>
          </cell>
          <cell r="LF549" t="str">
            <v>x</v>
          </cell>
        </row>
        <row r="550">
          <cell r="A550" t="str">
            <v>isf</v>
          </cell>
        </row>
        <row r="550">
          <cell r="C550" t="str">
            <v>CA-107</v>
          </cell>
        </row>
        <row r="550">
          <cell r="E550" t="str">
            <v>450 Laon Laan St., Baangay 25 Caloocan City</v>
          </cell>
        </row>
        <row r="550">
          <cell r="Q550" t="str">
            <v>R</v>
          </cell>
        </row>
        <row r="550">
          <cell r="T550" t="str">
            <v>Siongco, Lenny</v>
          </cell>
        </row>
        <row r="550">
          <cell r="AS550">
            <v>1</v>
          </cell>
        </row>
        <row r="550">
          <cell r="BS550" t="str">
            <v>Residential</v>
          </cell>
          <cell r="BT550" t="str">
            <v>Structure Owner</v>
          </cell>
        </row>
        <row r="550">
          <cell r="JR550" t="str">
            <v>Need Displacement</v>
          </cell>
        </row>
        <row r="550">
          <cell r="KI550" t="str">
            <v>Relocation</v>
          </cell>
          <cell r="KJ550" t="str">
            <v>Bulacan</v>
          </cell>
        </row>
        <row r="550">
          <cell r="KL550" t="str">
            <v>Disiplina Village (Brgy Bignay, Valenzuela City)</v>
          </cell>
        </row>
        <row r="550">
          <cell r="KQ550" t="str">
            <v>x</v>
          </cell>
          <cell r="KR550" t="str">
            <v>x</v>
          </cell>
          <cell r="KS550" t="str">
            <v>x</v>
          </cell>
          <cell r="KT550" t="str">
            <v>x</v>
          </cell>
          <cell r="KU550" t="str">
            <v>x</v>
          </cell>
        </row>
        <row r="550">
          <cell r="KZ550" t="str">
            <v>x</v>
          </cell>
          <cell r="LA550" t="str">
            <v>x</v>
          </cell>
          <cell r="LB550" t="str">
            <v>x</v>
          </cell>
          <cell r="LC550" t="str">
            <v>x</v>
          </cell>
          <cell r="LD550" t="str">
            <v>x</v>
          </cell>
          <cell r="LE550" t="str">
            <v>x</v>
          </cell>
          <cell r="LF550" t="str">
            <v>x</v>
          </cell>
        </row>
        <row r="551">
          <cell r="A551" t="str">
            <v>isf</v>
          </cell>
        </row>
        <row r="551">
          <cell r="C551" t="str">
            <v>CA-108</v>
          </cell>
        </row>
        <row r="551">
          <cell r="E551" t="str">
            <v>450 Laon Laan St., Baangay 25 Caloocan City</v>
          </cell>
        </row>
        <row r="551">
          <cell r="Q551" t="str">
            <v>R</v>
          </cell>
        </row>
        <row r="551">
          <cell r="T551" t="str">
            <v>Navarro, Edison</v>
          </cell>
        </row>
        <row r="551">
          <cell r="AS551">
            <v>1</v>
          </cell>
        </row>
        <row r="551">
          <cell r="BS551" t="str">
            <v>Residential</v>
          </cell>
          <cell r="BT551" t="str">
            <v>Structure Owner</v>
          </cell>
        </row>
        <row r="551">
          <cell r="JR551" t="str">
            <v>Need Displacement</v>
          </cell>
        </row>
        <row r="551">
          <cell r="KI551" t="str">
            <v>Relocation</v>
          </cell>
        </row>
        <row r="551">
          <cell r="KQ551" t="str">
            <v>x</v>
          </cell>
          <cell r="KR551" t="str">
            <v>x</v>
          </cell>
          <cell r="KS551" t="str">
            <v>x</v>
          </cell>
          <cell r="KT551" t="str">
            <v>x</v>
          </cell>
          <cell r="KU551" t="str">
            <v>x</v>
          </cell>
        </row>
        <row r="551">
          <cell r="KX551" t="str">
            <v>Y</v>
          </cell>
        </row>
        <row r="551">
          <cell r="KZ551" t="str">
            <v>x</v>
          </cell>
          <cell r="LA551" t="str">
            <v>x</v>
          </cell>
          <cell r="LB551" t="str">
            <v>x</v>
          </cell>
          <cell r="LC551" t="str">
            <v>x</v>
          </cell>
          <cell r="LD551" t="str">
            <v>x</v>
          </cell>
          <cell r="LE551" t="str">
            <v>x</v>
          </cell>
          <cell r="LF551" t="str">
            <v>x</v>
          </cell>
        </row>
        <row r="552">
          <cell r="A552" t="str">
            <v>isf</v>
          </cell>
        </row>
        <row r="552">
          <cell r="C552" t="str">
            <v>CA-109</v>
          </cell>
        </row>
        <row r="552">
          <cell r="E552" t="str">
            <v>450 Laon Laan St., Baangay 25 Caloocan City</v>
          </cell>
        </row>
        <row r="552">
          <cell r="Q552" t="str">
            <v>R</v>
          </cell>
        </row>
        <row r="552">
          <cell r="T552" t="str">
            <v>Uy, Terrence</v>
          </cell>
        </row>
        <row r="552">
          <cell r="AS552">
            <v>1</v>
          </cell>
        </row>
        <row r="552">
          <cell r="BS552" t="str">
            <v>Mixed use</v>
          </cell>
          <cell r="BT552" t="str">
            <v>Structure Owner</v>
          </cell>
        </row>
        <row r="552">
          <cell r="JR552" t="str">
            <v>Need Displacement</v>
          </cell>
        </row>
        <row r="552">
          <cell r="KI552" t="str">
            <v>Relocation</v>
          </cell>
        </row>
        <row r="552">
          <cell r="KL552" t="str">
            <v>Disiplina Village (Brgy Bignay, Valenzuela City)</v>
          </cell>
        </row>
        <row r="553">
          <cell r="A553" t="str">
            <v>legal</v>
          </cell>
        </row>
        <row r="553">
          <cell r="C553" t="str">
            <v>CA-110</v>
          </cell>
        </row>
        <row r="553">
          <cell r="E553" t="str">
            <v>16 Laon Laan St., Barangay 25 Caloocan City</v>
          </cell>
        </row>
        <row r="553">
          <cell r="Q553" t="str">
            <v>R</v>
          </cell>
        </row>
        <row r="553">
          <cell r="T553" t="str">
            <v>Antipala, Luisa</v>
          </cell>
        </row>
        <row r="553">
          <cell r="AS553">
            <v>0.135726392251816</v>
          </cell>
        </row>
        <row r="553">
          <cell r="BS553" t="str">
            <v>Residential</v>
          </cell>
          <cell r="BT553" t="str">
            <v>Structure Owner</v>
          </cell>
        </row>
        <row r="553">
          <cell r="JR553" t="str">
            <v>Can Stay</v>
          </cell>
        </row>
        <row r="553">
          <cell r="VV553" t="str">
            <v>legal</v>
          </cell>
        </row>
        <row r="554">
          <cell r="A554" t="str">
            <v>legal 553</v>
          </cell>
        </row>
        <row r="554">
          <cell r="C554" t="str">
            <v>CA-110</v>
          </cell>
        </row>
        <row r="554">
          <cell r="E554" t="str">
            <v>16 Laon Laan St., Barangay 25 Caloocan City</v>
          </cell>
        </row>
        <row r="554">
          <cell r="Q554" t="str">
            <v>R</v>
          </cell>
        </row>
        <row r="554">
          <cell r="T554" t="str">
            <v>Enardecido, Junjun</v>
          </cell>
        </row>
        <row r="554">
          <cell r="BS554" t="str">
            <v>Residential</v>
          </cell>
          <cell r="BT554" t="str">
            <v>Caretaker</v>
          </cell>
        </row>
        <row r="554">
          <cell r="JP554">
            <v>250</v>
          </cell>
        </row>
        <row r="554">
          <cell r="JR554" t="str">
            <v>Need Displacement</v>
          </cell>
        </row>
        <row r="554">
          <cell r="VV554" t="str">
            <v>legal 553</v>
          </cell>
        </row>
        <row r="555">
          <cell r="A555" t="str">
            <v>legal</v>
          </cell>
        </row>
        <row r="555">
          <cell r="C555" t="str">
            <v>CA-111A</v>
          </cell>
        </row>
        <row r="555">
          <cell r="E555" t="str">
            <v>493 C. Namie St., Barangay 25 Caloocan City</v>
          </cell>
        </row>
        <row r="555">
          <cell r="Q555" t="str">
            <v>R</v>
          </cell>
        </row>
        <row r="555">
          <cell r="T555" t="str">
            <v>Limbunting, Dixter</v>
          </cell>
        </row>
        <row r="555">
          <cell r="AS555">
            <v>0.506572769953052</v>
          </cell>
        </row>
        <row r="555">
          <cell r="BS555" t="str">
            <v>Mixed use</v>
          </cell>
          <cell r="BT555" t="str">
            <v>Structure Owner</v>
          </cell>
        </row>
        <row r="555">
          <cell r="JR555" t="str">
            <v>Need Displacement</v>
          </cell>
        </row>
        <row r="555">
          <cell r="VV555" t="str">
            <v>legal</v>
          </cell>
        </row>
        <row r="556">
          <cell r="A556" t="str">
            <v>legal 556</v>
          </cell>
        </row>
        <row r="556">
          <cell r="C556" t="str">
            <v>CA-111A</v>
          </cell>
        </row>
        <row r="556">
          <cell r="E556" t="str">
            <v>493 C. Namie St., Barangay 25 Caloocan City</v>
          </cell>
        </row>
        <row r="556">
          <cell r="Q556" t="str">
            <v>R</v>
          </cell>
        </row>
        <row r="556">
          <cell r="T556" t="str">
            <v>Capin, Ma. Nelly</v>
          </cell>
        </row>
        <row r="556">
          <cell r="BS556" t="str">
            <v>Mixed use</v>
          </cell>
          <cell r="BT556" t="str">
            <v>Commercial Tenant</v>
          </cell>
        </row>
        <row r="556">
          <cell r="JR556" t="str">
            <v>Need Displacement</v>
          </cell>
        </row>
        <row r="556">
          <cell r="VV556" t="str">
            <v>legal 556</v>
          </cell>
        </row>
        <row r="557">
          <cell r="A557" t="str">
            <v>legal 556</v>
          </cell>
        </row>
        <row r="557">
          <cell r="C557" t="str">
            <v>CA-111B</v>
          </cell>
        </row>
        <row r="557">
          <cell r="E557" t="str">
            <v>493 C. Namie St., Barangay 25 Caloocan City</v>
          </cell>
        </row>
        <row r="557">
          <cell r="Q557" t="str">
            <v>R</v>
          </cell>
        </row>
        <row r="557">
          <cell r="T557" t="str">
            <v>Limbunting, Christian</v>
          </cell>
        </row>
        <row r="557">
          <cell r="BS557" t="str">
            <v>Residential</v>
          </cell>
          <cell r="BT557" t="str">
            <v>Structure Owner</v>
          </cell>
        </row>
        <row r="557">
          <cell r="JR557" t="str">
            <v>Need Displacement</v>
          </cell>
        </row>
        <row r="557">
          <cell r="KI557" t="str">
            <v>Relocation</v>
          </cell>
          <cell r="KJ557" t="str">
            <v>Cavite</v>
          </cell>
        </row>
        <row r="557">
          <cell r="KL557" t="str">
            <v>Disiplina Village (Brgy Bignay, Valenzuela City)</v>
          </cell>
        </row>
        <row r="557">
          <cell r="KQ557" t="str">
            <v>x</v>
          </cell>
          <cell r="KR557" t="str">
            <v>x</v>
          </cell>
          <cell r="KS557" t="str">
            <v>x</v>
          </cell>
          <cell r="KT557" t="str">
            <v>x</v>
          </cell>
          <cell r="KU557" t="str">
            <v>x</v>
          </cell>
        </row>
        <row r="557">
          <cell r="KX557" t="str">
            <v>Y</v>
          </cell>
        </row>
        <row r="557">
          <cell r="KZ557" t="str">
            <v>x</v>
          </cell>
          <cell r="LA557" t="str">
            <v>x</v>
          </cell>
          <cell r="LB557" t="str">
            <v>x</v>
          </cell>
          <cell r="LC557" t="str">
            <v>x</v>
          </cell>
          <cell r="LD557" t="str">
            <v>x</v>
          </cell>
          <cell r="LE557" t="str">
            <v>x</v>
          </cell>
          <cell r="LF557" t="str">
            <v>x</v>
          </cell>
        </row>
        <row r="558">
          <cell r="A558" t="str">
            <v>isf</v>
          </cell>
        </row>
        <row r="558">
          <cell r="C558" t="str">
            <v>CA-112</v>
          </cell>
        </row>
        <row r="558">
          <cell r="E558" t="str">
            <v>494 C. Namie St., Barangay 25 Caloocan City</v>
          </cell>
        </row>
        <row r="558">
          <cell r="Q558" t="str">
            <v>L</v>
          </cell>
        </row>
        <row r="558">
          <cell r="T558" t="str">
            <v>Dela Peña, Dindo</v>
          </cell>
        </row>
        <row r="558">
          <cell r="AS558">
            <v>1</v>
          </cell>
        </row>
        <row r="558">
          <cell r="BS558" t="str">
            <v>Residential</v>
          </cell>
          <cell r="BT558" t="str">
            <v>Structure Owner</v>
          </cell>
        </row>
        <row r="558">
          <cell r="JR558" t="str">
            <v>Need Displacement</v>
          </cell>
        </row>
        <row r="558">
          <cell r="KI558" t="str">
            <v>Relocation</v>
          </cell>
          <cell r="KJ558" t="str">
            <v>In City</v>
          </cell>
        </row>
        <row r="558">
          <cell r="KL558" t="str">
            <v>Disiplina Village (Brgy Bignay, Valenzuela City)</v>
          </cell>
        </row>
        <row r="559">
          <cell r="A559" t="str">
            <v>legal</v>
          </cell>
        </row>
        <row r="559">
          <cell r="C559" t="str">
            <v>CA-113</v>
          </cell>
        </row>
        <row r="559">
          <cell r="E559" t="str">
            <v>491 C. Namie St., Barangay 25 Caloocan City</v>
          </cell>
        </row>
        <row r="559">
          <cell r="Q559" t="str">
            <v>L</v>
          </cell>
        </row>
        <row r="559">
          <cell r="T559" t="str">
            <v>Mendoza, Jeffrey Oliver</v>
          </cell>
        </row>
        <row r="559">
          <cell r="AS559">
            <v>0.13256076879593</v>
          </cell>
        </row>
        <row r="559">
          <cell r="BS559" t="str">
            <v>Residential</v>
          </cell>
          <cell r="BT559" t="str">
            <v>Structure Owner</v>
          </cell>
        </row>
        <row r="559">
          <cell r="JR559" t="str">
            <v>Need Displacement</v>
          </cell>
        </row>
        <row r="559">
          <cell r="KI559" t="str">
            <v>Relocation</v>
          </cell>
        </row>
        <row r="559">
          <cell r="KL559" t="str">
            <v>Disiplina Village (Brgy Bignay, Valenzuela City)</v>
          </cell>
        </row>
        <row r="559">
          <cell r="KQ559" t="str">
            <v>x</v>
          </cell>
          <cell r="KR559" t="str">
            <v>x</v>
          </cell>
          <cell r="KS559" t="str">
            <v>x</v>
          </cell>
          <cell r="KT559" t="str">
            <v>x</v>
          </cell>
          <cell r="KU559" t="str">
            <v>x</v>
          </cell>
        </row>
        <row r="559">
          <cell r="KX559" t="str">
            <v>Y</v>
          </cell>
        </row>
        <row r="559">
          <cell r="KZ559" t="str">
            <v>x</v>
          </cell>
          <cell r="LA559" t="str">
            <v>x</v>
          </cell>
          <cell r="LB559" t="str">
            <v>x</v>
          </cell>
        </row>
        <row r="559">
          <cell r="LD559" t="str">
            <v>x</v>
          </cell>
          <cell r="LE559" t="str">
            <v>x</v>
          </cell>
          <cell r="LF559" t="str">
            <v>x</v>
          </cell>
        </row>
        <row r="559">
          <cell r="VV559" t="str">
            <v>legal</v>
          </cell>
        </row>
        <row r="560">
          <cell r="A560" t="str">
            <v>isf</v>
          </cell>
        </row>
        <row r="560">
          <cell r="C560" t="str">
            <v>CA-114</v>
          </cell>
        </row>
        <row r="560">
          <cell r="E560" t="str">
            <v>492 C. Namie St., Barangay 25 Caloocan City</v>
          </cell>
        </row>
        <row r="560">
          <cell r="Q560" t="str">
            <v>L</v>
          </cell>
        </row>
        <row r="560">
          <cell r="T560" t="str">
            <v>Topang, Charito</v>
          </cell>
        </row>
        <row r="560">
          <cell r="AS560">
            <v>1</v>
          </cell>
        </row>
        <row r="560">
          <cell r="BS560" t="str">
            <v>Residential</v>
          </cell>
          <cell r="BT560" t="str">
            <v>Structure Owner</v>
          </cell>
        </row>
        <row r="560">
          <cell r="JR560" t="str">
            <v>Need Displacement</v>
          </cell>
        </row>
        <row r="560">
          <cell r="KI560" t="str">
            <v>Relocation</v>
          </cell>
          <cell r="KJ560" t="str">
            <v>In City</v>
          </cell>
        </row>
        <row r="560">
          <cell r="KL560" t="str">
            <v>Disiplina Village (Brgy Bignay, Valenzuela City)</v>
          </cell>
        </row>
        <row r="560">
          <cell r="KQ560" t="str">
            <v>x</v>
          </cell>
        </row>
        <row r="560">
          <cell r="KX560" t="str">
            <v>Y</v>
          </cell>
        </row>
        <row r="560">
          <cell r="KZ560" t="str">
            <v>x</v>
          </cell>
          <cell r="LA560" t="str">
            <v>x</v>
          </cell>
          <cell r="LB560" t="str">
            <v>x</v>
          </cell>
          <cell r="LC560" t="str">
            <v>x</v>
          </cell>
          <cell r="LD560" t="str">
            <v>x</v>
          </cell>
          <cell r="LE560" t="str">
            <v>x</v>
          </cell>
        </row>
        <row r="561">
          <cell r="A561" t="str">
            <v>legal</v>
          </cell>
        </row>
        <row r="561">
          <cell r="C561" t="str">
            <v>CA-115A</v>
          </cell>
        </row>
        <row r="561">
          <cell r="E561" t="str">
            <v>51-A C. Namie St., Barangay 25 Caloocan City</v>
          </cell>
        </row>
        <row r="561">
          <cell r="Q561" t="str">
            <v>L</v>
          </cell>
        </row>
        <row r="561">
          <cell r="T561" t="str">
            <v>Balagot, Brian</v>
          </cell>
        </row>
        <row r="561">
          <cell r="AS561">
            <v>1</v>
          </cell>
        </row>
        <row r="561">
          <cell r="BS561" t="str">
            <v>Residential</v>
          </cell>
          <cell r="BT561" t="str">
            <v>Structure Owner</v>
          </cell>
        </row>
        <row r="561">
          <cell r="JR561" t="str">
            <v>Need Displacement</v>
          </cell>
        </row>
        <row r="561">
          <cell r="KI561" t="str">
            <v>Relocation</v>
          </cell>
          <cell r="KJ561" t="str">
            <v>In City</v>
          </cell>
        </row>
        <row r="561">
          <cell r="KL561" t="str">
            <v>NorthVille 7, Brgy. Malis, Guiguinto Bulacan</v>
          </cell>
        </row>
        <row r="561">
          <cell r="KS561" t="str">
            <v>x</v>
          </cell>
          <cell r="KT561" t="str">
            <v>x</v>
          </cell>
          <cell r="KU561" t="str">
            <v>x</v>
          </cell>
        </row>
        <row r="561">
          <cell r="KX561" t="str">
            <v>Y</v>
          </cell>
        </row>
        <row r="561">
          <cell r="VV561" t="str">
            <v>legal</v>
          </cell>
        </row>
        <row r="562">
          <cell r="A562" t="str">
            <v>legal 561</v>
          </cell>
        </row>
        <row r="562">
          <cell r="C562" t="str">
            <v>CA-115B</v>
          </cell>
        </row>
        <row r="562">
          <cell r="E562" t="str">
            <v>51-A C. Namie St., Barangay 25 Caloocan City</v>
          </cell>
        </row>
        <row r="562">
          <cell r="Q562" t="str">
            <v>L</v>
          </cell>
        </row>
        <row r="562">
          <cell r="T562" t="str">
            <v>Balagot, Fernando</v>
          </cell>
        </row>
        <row r="562">
          <cell r="BS562" t="str">
            <v>Residential</v>
          </cell>
          <cell r="BT562" t="str">
            <v>Co-Owner</v>
          </cell>
        </row>
        <row r="562">
          <cell r="JR562" t="str">
            <v>Need Displacement</v>
          </cell>
        </row>
        <row r="562">
          <cell r="KI562" t="str">
            <v>Relocation</v>
          </cell>
        </row>
        <row r="562">
          <cell r="KL562" t="str">
            <v>Disiplina Village (Brgy Bignay, Valenzuela City)</v>
          </cell>
        </row>
        <row r="562">
          <cell r="KQ562" t="str">
            <v>x</v>
          </cell>
        </row>
        <row r="562">
          <cell r="KX562" t="str">
            <v>Y</v>
          </cell>
        </row>
        <row r="562">
          <cell r="KZ562" t="str">
            <v>x</v>
          </cell>
          <cell r="LA562" t="str">
            <v>x</v>
          </cell>
          <cell r="LB562" t="str">
            <v>x</v>
          </cell>
          <cell r="LC562" t="str">
            <v>x</v>
          </cell>
          <cell r="LD562" t="str">
            <v>x</v>
          </cell>
          <cell r="LE562" t="str">
            <v>x</v>
          </cell>
          <cell r="LF562" t="str">
            <v>x</v>
          </cell>
        </row>
        <row r="563">
          <cell r="A563" t="str">
            <v>legal 561</v>
          </cell>
        </row>
        <row r="563">
          <cell r="C563" t="str">
            <v>CA-115C</v>
          </cell>
        </row>
        <row r="563">
          <cell r="E563" t="str">
            <v>51-A C. Namie St., Barangay 25 Caloocan City</v>
          </cell>
        </row>
        <row r="563">
          <cell r="Q563" t="str">
            <v>L</v>
          </cell>
        </row>
        <row r="563">
          <cell r="T563" t="str">
            <v>Balagot, Mark Anthony</v>
          </cell>
        </row>
        <row r="563">
          <cell r="BS563" t="str">
            <v>Residential</v>
          </cell>
          <cell r="BT563" t="str">
            <v>Caretaker</v>
          </cell>
        </row>
        <row r="563">
          <cell r="KI563" t="str">
            <v>Relocation</v>
          </cell>
          <cell r="KJ563" t="str">
            <v>In City</v>
          </cell>
        </row>
        <row r="563">
          <cell r="KL563" t="str">
            <v>Disiplina Village (Brgy Bignay, Valenzuela City)</v>
          </cell>
        </row>
        <row r="563">
          <cell r="KQ563" t="str">
            <v>x</v>
          </cell>
          <cell r="KR563" t="str">
            <v>x</v>
          </cell>
          <cell r="KS563" t="str">
            <v>x</v>
          </cell>
          <cell r="KT563" t="str">
            <v>x</v>
          </cell>
          <cell r="KU563" t="str">
            <v>x</v>
          </cell>
        </row>
        <row r="563">
          <cell r="KZ563" t="str">
            <v>x</v>
          </cell>
          <cell r="LA563" t="str">
            <v>x</v>
          </cell>
          <cell r="LB563" t="str">
            <v>x</v>
          </cell>
          <cell r="LC563" t="str">
            <v>x</v>
          </cell>
          <cell r="LD563" t="str">
            <v>x</v>
          </cell>
          <cell r="LE563" t="str">
            <v>x</v>
          </cell>
          <cell r="LF563" t="str">
            <v>x</v>
          </cell>
        </row>
        <row r="563">
          <cell r="VV563" t="str">
            <v>legal 561</v>
          </cell>
        </row>
        <row r="564">
          <cell r="A564" t="str">
            <v>legal</v>
          </cell>
        </row>
        <row r="564">
          <cell r="C564" t="str">
            <v>CA-116</v>
          </cell>
        </row>
        <row r="564">
          <cell r="E564" t="str">
            <v>467 C. Namie St., Barangay 25 Caloocan City</v>
          </cell>
        </row>
        <row r="564">
          <cell r="Q564" t="str">
            <v>R</v>
          </cell>
        </row>
        <row r="564">
          <cell r="T564" t="str">
            <v>Diamsin, Lourdes</v>
          </cell>
        </row>
        <row r="564">
          <cell r="AS564">
            <v>0.4</v>
          </cell>
        </row>
        <row r="564">
          <cell r="BS564" t="str">
            <v>Mixed use</v>
          </cell>
          <cell r="BT564" t="str">
            <v>Structure Owner</v>
          </cell>
        </row>
        <row r="564">
          <cell r="JR564" t="str">
            <v>Can Stay</v>
          </cell>
        </row>
        <row r="564">
          <cell r="KI564" t="str">
            <v>Relocation</v>
          </cell>
          <cell r="KJ564" t="str">
            <v>In City</v>
          </cell>
        </row>
        <row r="564">
          <cell r="KL564" t="str">
            <v>Disiplina Village (Brgy Bignay, Valenzuela City)</v>
          </cell>
        </row>
        <row r="564">
          <cell r="KQ564" t="str">
            <v>x</v>
          </cell>
          <cell r="KR564" t="str">
            <v>x</v>
          </cell>
          <cell r="KS564" t="str">
            <v>x</v>
          </cell>
          <cell r="KT564" t="str">
            <v>x</v>
          </cell>
          <cell r="KU564" t="str">
            <v>x</v>
          </cell>
        </row>
        <row r="564">
          <cell r="KX564" t="str">
            <v>Y</v>
          </cell>
        </row>
        <row r="564">
          <cell r="KZ564" t="str">
            <v>x</v>
          </cell>
          <cell r="LA564" t="str">
            <v>x</v>
          </cell>
          <cell r="LB564" t="str">
            <v>x</v>
          </cell>
          <cell r="LC564" t="str">
            <v>x</v>
          </cell>
          <cell r="LD564" t="str">
            <v>x</v>
          </cell>
          <cell r="LE564" t="str">
            <v>x</v>
          </cell>
          <cell r="LF564" t="str">
            <v>x</v>
          </cell>
        </row>
        <row r="565">
          <cell r="A565" t="str">
            <v>legal 564</v>
          </cell>
        </row>
        <row r="565">
          <cell r="C565" t="str">
            <v>CA-116</v>
          </cell>
        </row>
        <row r="565">
          <cell r="E565" t="str">
            <v>467 C. Namie St., Barangay 25 Caloocan City</v>
          </cell>
        </row>
        <row r="565">
          <cell r="Q565" t="str">
            <v>R</v>
          </cell>
        </row>
        <row r="565">
          <cell r="T565" t="str">
            <v>Diamsin, Manuel</v>
          </cell>
        </row>
        <row r="565">
          <cell r="BS565" t="str">
            <v>Mixed use</v>
          </cell>
          <cell r="BT565" t="str">
            <v>Co-Owner</v>
          </cell>
        </row>
        <row r="565">
          <cell r="VV565" t="str">
            <v>legal 564</v>
          </cell>
        </row>
        <row r="566">
          <cell r="A566" t="str">
            <v>legal 564</v>
          </cell>
        </row>
        <row r="566">
          <cell r="C566" t="str">
            <v>CA-116</v>
          </cell>
        </row>
        <row r="566">
          <cell r="E566" t="str">
            <v>467 C. Namie St., Barangay 25 Caloocan City</v>
          </cell>
        </row>
        <row r="566">
          <cell r="T566" t="str">
            <v>Biscara, Cadido</v>
          </cell>
        </row>
        <row r="566">
          <cell r="BS566" t="str">
            <v>Mixed use</v>
          </cell>
          <cell r="BT566" t="str">
            <v>Sharer</v>
          </cell>
        </row>
        <row r="566">
          <cell r="JR566" t="str">
            <v>Need Displacement</v>
          </cell>
        </row>
        <row r="566">
          <cell r="KI566" t="str">
            <v>Relocation</v>
          </cell>
          <cell r="KJ566" t="str">
            <v>In City</v>
          </cell>
        </row>
        <row r="566">
          <cell r="KL566" t="str">
            <v>Disiplina Village (Brgy Bignay, Valenzuela City)</v>
          </cell>
        </row>
        <row r="566">
          <cell r="KR566" t="str">
            <v>x</v>
          </cell>
          <cell r="KS566" t="str">
            <v>x</v>
          </cell>
          <cell r="KT566" t="str">
            <v>x</v>
          </cell>
          <cell r="KU566" t="str">
            <v>x</v>
          </cell>
        </row>
        <row r="566">
          <cell r="KX566" t="str">
            <v>Y</v>
          </cell>
        </row>
        <row r="566">
          <cell r="KZ566" t="str">
            <v>x</v>
          </cell>
          <cell r="LA566" t="str">
            <v>x</v>
          </cell>
          <cell r="LB566" t="str">
            <v>x</v>
          </cell>
          <cell r="LC566" t="str">
            <v>x</v>
          </cell>
        </row>
        <row r="566">
          <cell r="VV566" t="str">
            <v>legal 564</v>
          </cell>
        </row>
        <row r="567">
          <cell r="A567" t="str">
            <v>legal</v>
          </cell>
        </row>
        <row r="567">
          <cell r="C567" t="str">
            <v>CA-117</v>
          </cell>
        </row>
        <row r="567">
          <cell r="E567" t="str">
            <v>100 C. Namie St., Barangay 25 Caloocan City</v>
          </cell>
        </row>
        <row r="567">
          <cell r="Q567" t="str">
            <v>R</v>
          </cell>
        </row>
        <row r="567">
          <cell r="T567" t="str">
            <v>Sangcap, Antonio</v>
          </cell>
        </row>
        <row r="567">
          <cell r="AS567">
            <v>0.08</v>
          </cell>
        </row>
        <row r="567">
          <cell r="BS567" t="str">
            <v>Mixed use</v>
          </cell>
          <cell r="BT567" t="str">
            <v>Structure Owner</v>
          </cell>
        </row>
        <row r="567">
          <cell r="JR567" t="str">
            <v>Can Stay (ACCESS BLOCK)</v>
          </cell>
        </row>
        <row r="567">
          <cell r="VV567" t="str">
            <v>legal</v>
          </cell>
        </row>
        <row r="568">
          <cell r="A568" t="str">
            <v>legal 567</v>
          </cell>
        </row>
        <row r="568">
          <cell r="C568" t="str">
            <v>CA-117</v>
          </cell>
        </row>
        <row r="568">
          <cell r="E568" t="str">
            <v>100 C. Namie St., Barangay 25 Caloocan City</v>
          </cell>
        </row>
        <row r="568">
          <cell r="Q568" t="str">
            <v>R</v>
          </cell>
        </row>
        <row r="568">
          <cell r="T568" t="str">
            <v>Sangcap III, Antonio</v>
          </cell>
        </row>
        <row r="568">
          <cell r="BS568" t="str">
            <v>Mixed use</v>
          </cell>
          <cell r="BT568" t="str">
            <v>Sharer</v>
          </cell>
        </row>
        <row r="568">
          <cell r="VV568" t="str">
            <v>legal 567</v>
          </cell>
        </row>
        <row r="569">
          <cell r="A569" t="str">
            <v>legal 567</v>
          </cell>
        </row>
        <row r="569">
          <cell r="C569" t="str">
            <v>CA-117</v>
          </cell>
        </row>
        <row r="569">
          <cell r="E569" t="str">
            <v>100 C. Namie St., Barangay 25 Caloocan City</v>
          </cell>
        </row>
        <row r="569">
          <cell r="Q569" t="str">
            <v>R</v>
          </cell>
        </row>
        <row r="569">
          <cell r="T569" t="str">
            <v>Mercado, Ann Judith</v>
          </cell>
        </row>
        <row r="569">
          <cell r="BS569" t="str">
            <v>Mixed use</v>
          </cell>
          <cell r="BT569" t="str">
            <v>Sharer</v>
          </cell>
        </row>
        <row r="569">
          <cell r="VV569" t="str">
            <v>legal 567</v>
          </cell>
        </row>
        <row r="570">
          <cell r="A570" t="str">
            <v>legal 567</v>
          </cell>
        </row>
        <row r="570">
          <cell r="C570" t="str">
            <v>CA-117</v>
          </cell>
        </row>
        <row r="570">
          <cell r="E570" t="str">
            <v>100 C. Namie St., Barangay 25 Caloocan City</v>
          </cell>
        </row>
        <row r="570">
          <cell r="Q570" t="str">
            <v>R</v>
          </cell>
        </row>
        <row r="570">
          <cell r="T570" t="str">
            <v>Sangcap, Anthony Greg Adbiento</v>
          </cell>
        </row>
        <row r="570">
          <cell r="BS570" t="str">
            <v>Mixed use</v>
          </cell>
          <cell r="BT570" t="str">
            <v>Sharer</v>
          </cell>
        </row>
        <row r="570">
          <cell r="VV570" t="str">
            <v>legal 567</v>
          </cell>
        </row>
        <row r="571">
          <cell r="A571" t="str">
            <v>legal</v>
          </cell>
        </row>
        <row r="571">
          <cell r="C571" t="str">
            <v>CA-118</v>
          </cell>
        </row>
        <row r="571">
          <cell r="E571" t="str">
            <v>C. Namie St., Barangay 25, Caloocan City</v>
          </cell>
        </row>
        <row r="571">
          <cell r="Q571" t="str">
            <v>R</v>
          </cell>
        </row>
        <row r="571">
          <cell r="BS571" t="str">
            <v>Commercial</v>
          </cell>
          <cell r="BT571" t="str">
            <v>Structure Owner</v>
          </cell>
        </row>
        <row r="571">
          <cell r="VV571" t="str">
            <v>legal</v>
          </cell>
        </row>
        <row r="572">
          <cell r="A572" t="str">
            <v>legal</v>
          </cell>
        </row>
        <row r="572">
          <cell r="C572" t="str">
            <v>CA-119</v>
          </cell>
        </row>
        <row r="572">
          <cell r="E572" t="str">
            <v>443 C. Namie St., Barangay 25 Caloocan City</v>
          </cell>
        </row>
        <row r="572">
          <cell r="Q572" t="str">
            <v>R</v>
          </cell>
        </row>
        <row r="572">
          <cell r="T572" t="str">
            <v>Morales, Eduardo</v>
          </cell>
        </row>
        <row r="572">
          <cell r="AS572">
            <v>0.363636363636364</v>
          </cell>
        </row>
        <row r="572">
          <cell r="BS572" t="str">
            <v>Industrial</v>
          </cell>
          <cell r="BT572" t="str">
            <v>Structure Owner</v>
          </cell>
        </row>
        <row r="572">
          <cell r="JR572" t="str">
            <v>Need Displacement</v>
          </cell>
        </row>
        <row r="572">
          <cell r="KG572">
            <v>3500</v>
          </cell>
        </row>
        <row r="572">
          <cell r="KI572" t="str">
            <v>Relocation</v>
          </cell>
          <cell r="KJ572" t="str">
            <v>Bulacan</v>
          </cell>
        </row>
        <row r="572">
          <cell r="KL572" t="str">
            <v>San Jose Del Monte Heights, (Brgy. Muzon, SJDM, Bulacan)</v>
          </cell>
        </row>
        <row r="572">
          <cell r="KX572" t="str">
            <v>Y</v>
          </cell>
        </row>
        <row r="572">
          <cell r="KZ572" t="str">
            <v>x</v>
          </cell>
          <cell r="LA572" t="str">
            <v>x</v>
          </cell>
          <cell r="LB572" t="str">
            <v>x</v>
          </cell>
          <cell r="LC572" t="str">
            <v>x</v>
          </cell>
          <cell r="LD572" t="str">
            <v>x</v>
          </cell>
          <cell r="LE572" t="str">
            <v>x</v>
          </cell>
        </row>
        <row r="572">
          <cell r="VV572" t="str">
            <v>legal</v>
          </cell>
        </row>
        <row r="573">
          <cell r="A573" t="str">
            <v>isf</v>
          </cell>
        </row>
        <row r="573">
          <cell r="C573" t="str">
            <v>CA-120</v>
          </cell>
        </row>
        <row r="573">
          <cell r="E573" t="str">
            <v>445 C. Namie St., Barangay 25 Caloocan City</v>
          </cell>
        </row>
        <row r="573">
          <cell r="Q573" t="str">
            <v>R</v>
          </cell>
        </row>
        <row r="573">
          <cell r="T573" t="str">
            <v>Drice, Ervin</v>
          </cell>
        </row>
        <row r="573">
          <cell r="AS573">
            <v>1</v>
          </cell>
        </row>
        <row r="573">
          <cell r="BS573" t="str">
            <v>Residential</v>
          </cell>
          <cell r="BT573" t="str">
            <v>Structure Owner</v>
          </cell>
        </row>
        <row r="573">
          <cell r="JR573" t="str">
            <v>Need Displacement</v>
          </cell>
        </row>
        <row r="573">
          <cell r="KI573" t="str">
            <v>No Answer</v>
          </cell>
        </row>
        <row r="574">
          <cell r="A574" t="str">
            <v>legal</v>
          </cell>
        </row>
        <row r="574">
          <cell r="C574" t="str">
            <v>CA-121A</v>
          </cell>
        </row>
        <row r="574">
          <cell r="E574" t="str">
            <v>443 C. Namie St., Barangay 25 Caloocan City</v>
          </cell>
        </row>
        <row r="574">
          <cell r="Q574" t="str">
            <v>R</v>
          </cell>
        </row>
        <row r="574">
          <cell r="T574" t="str">
            <v>Carpio, Leonardo</v>
          </cell>
        </row>
        <row r="574">
          <cell r="AS574">
            <v>0.0505050505050505</v>
          </cell>
        </row>
        <row r="574">
          <cell r="BS574" t="str">
            <v>Residential</v>
          </cell>
          <cell r="BT574" t="str">
            <v>Structure Owner</v>
          </cell>
        </row>
        <row r="574">
          <cell r="JR574" t="str">
            <v>Can Stay</v>
          </cell>
        </row>
        <row r="574">
          <cell r="VV574" t="str">
            <v>legal</v>
          </cell>
        </row>
        <row r="575">
          <cell r="A575" t="str">
            <v>legal 574</v>
          </cell>
        </row>
        <row r="575">
          <cell r="C575" t="str">
            <v>CA-121A</v>
          </cell>
        </row>
        <row r="575">
          <cell r="E575" t="str">
            <v>443 C. Namie St., Barangay 25 Caloocan City</v>
          </cell>
        </row>
        <row r="575">
          <cell r="Q575" t="str">
            <v>R</v>
          </cell>
        </row>
        <row r="575">
          <cell r="T575" t="str">
            <v>Carpio, Robert</v>
          </cell>
        </row>
        <row r="575">
          <cell r="BS575" t="str">
            <v>Residential</v>
          </cell>
          <cell r="BT575" t="str">
            <v>Co-Owner</v>
          </cell>
        </row>
        <row r="575">
          <cell r="JP575">
            <v>700</v>
          </cell>
        </row>
        <row r="575">
          <cell r="VV575" t="str">
            <v>legal 574</v>
          </cell>
        </row>
        <row r="576">
          <cell r="A576" t="str">
            <v>legal 574</v>
          </cell>
        </row>
        <row r="576">
          <cell r="C576" t="str">
            <v>CA-121A</v>
          </cell>
        </row>
        <row r="576">
          <cell r="E576" t="str">
            <v>443 C. Namie St., Barangay 25 Caloocan City</v>
          </cell>
        </row>
        <row r="576">
          <cell r="Q576" t="str">
            <v>R</v>
          </cell>
        </row>
        <row r="576">
          <cell r="T576" t="str">
            <v>Busante, Gaylord</v>
          </cell>
        </row>
        <row r="576">
          <cell r="BS576" t="str">
            <v>Residential</v>
          </cell>
          <cell r="BT576" t="str">
            <v>Co-Owner</v>
          </cell>
        </row>
        <row r="576">
          <cell r="VV576" t="str">
            <v>legal 574</v>
          </cell>
        </row>
        <row r="577">
          <cell r="A577" t="str">
            <v>legal</v>
          </cell>
        </row>
        <row r="577">
          <cell r="C577" t="str">
            <v>CA-121B</v>
          </cell>
        </row>
        <row r="577">
          <cell r="E577" t="str">
            <v>443 C. Namie St., Barangay 25 Caloocan City</v>
          </cell>
        </row>
        <row r="577">
          <cell r="Q577" t="str">
            <v>R</v>
          </cell>
        </row>
        <row r="577">
          <cell r="T577" t="str">
            <v>Carpio, Perlita</v>
          </cell>
        </row>
        <row r="577">
          <cell r="AS577">
            <v>0.0505050505050505</v>
          </cell>
        </row>
        <row r="577">
          <cell r="BS577" t="str">
            <v>Residential</v>
          </cell>
          <cell r="BT577" t="str">
            <v>Co-Owner</v>
          </cell>
        </row>
        <row r="577">
          <cell r="JR577" t="str">
            <v>Can Stay (ACCESS BLOCK)</v>
          </cell>
        </row>
        <row r="577">
          <cell r="VV577" t="str">
            <v>legal</v>
          </cell>
        </row>
        <row r="578">
          <cell r="A578" t="str">
            <v>isf</v>
          </cell>
        </row>
        <row r="578">
          <cell r="C578" t="str">
            <v>CA-122</v>
          </cell>
        </row>
        <row r="578">
          <cell r="E578" t="str">
            <v>443 C. Namie St., Barangay 25 Caloocan City</v>
          </cell>
        </row>
        <row r="578">
          <cell r="Q578" t="str">
            <v>R</v>
          </cell>
        </row>
        <row r="578">
          <cell r="T578" t="str">
            <v>Arceo, Marlon</v>
          </cell>
        </row>
        <row r="578">
          <cell r="AS578">
            <v>0.0878477306002928</v>
          </cell>
        </row>
        <row r="578">
          <cell r="BS578" t="str">
            <v>Residential</v>
          </cell>
          <cell r="BT578" t="str">
            <v>Structure Owner</v>
          </cell>
        </row>
        <row r="578">
          <cell r="JR578" t="str">
            <v>Can Stay (ACCESS BLOCK)</v>
          </cell>
        </row>
        <row r="578">
          <cell r="VV578" t="str">
            <v>isf</v>
          </cell>
        </row>
        <row r="579">
          <cell r="A579" t="str">
            <v>legal</v>
          </cell>
        </row>
        <row r="579">
          <cell r="C579" t="str">
            <v>CA-123</v>
          </cell>
        </row>
        <row r="579">
          <cell r="E579" t="str">
            <v>443 C. Namie St., Barangay 25 Caloocan City</v>
          </cell>
        </row>
        <row r="579">
          <cell r="BS579" t="str">
            <v>Residential</v>
          </cell>
          <cell r="BT579" t="str">
            <v>Structure Owner</v>
          </cell>
        </row>
        <row r="579">
          <cell r="VV579" t="str">
            <v>legal</v>
          </cell>
        </row>
        <row r="580">
          <cell r="A580" t="str">
            <v>legal-r 579</v>
          </cell>
        </row>
        <row r="580">
          <cell r="C580" t="str">
            <v>CA-123</v>
          </cell>
        </row>
        <row r="580">
          <cell r="E580" t="str">
            <v>443 C. Namie St., Barangay 25 Caloocan City</v>
          </cell>
        </row>
        <row r="580">
          <cell r="Q580" t="str">
            <v>R</v>
          </cell>
        </row>
        <row r="580">
          <cell r="T580" t="str">
            <v>Arevalo, Josephine</v>
          </cell>
        </row>
        <row r="580">
          <cell r="BS580" t="str">
            <v>Residential</v>
          </cell>
          <cell r="BT580" t="str">
            <v>Structure Renter</v>
          </cell>
        </row>
        <row r="580">
          <cell r="JP580">
            <v>150</v>
          </cell>
        </row>
        <row r="580">
          <cell r="VV580" t="str">
            <v>legal-r 579</v>
          </cell>
        </row>
        <row r="581">
          <cell r="A581" t="str">
            <v>legal-r 579</v>
          </cell>
        </row>
        <row r="581">
          <cell r="C581" t="str">
            <v>CA-123</v>
          </cell>
        </row>
        <row r="581">
          <cell r="E581" t="str">
            <v>443 C. Namie St., Barangay 25 Caloocan City</v>
          </cell>
        </row>
        <row r="581">
          <cell r="Q581" t="str">
            <v>R</v>
          </cell>
        </row>
        <row r="581">
          <cell r="T581" t="str">
            <v>Campaña, Leticia</v>
          </cell>
        </row>
        <row r="581">
          <cell r="BS581" t="str">
            <v>Residential</v>
          </cell>
          <cell r="BT581" t="str">
            <v>Structure Renter</v>
          </cell>
        </row>
        <row r="581">
          <cell r="JP581">
            <v>100</v>
          </cell>
        </row>
        <row r="581">
          <cell r="JR581" t="str">
            <v>Need Displacement</v>
          </cell>
        </row>
        <row r="581">
          <cell r="VV581" t="str">
            <v>legal-r 579</v>
          </cell>
        </row>
        <row r="582">
          <cell r="A582" t="str">
            <v>legal-r 579</v>
          </cell>
        </row>
        <row r="582">
          <cell r="C582" t="str">
            <v>CA-123</v>
          </cell>
        </row>
        <row r="582">
          <cell r="E582" t="str">
            <v>443 C. Namie St., Barangay 25 Caloocan City</v>
          </cell>
        </row>
        <row r="582">
          <cell r="Q582" t="str">
            <v>R</v>
          </cell>
        </row>
        <row r="582">
          <cell r="T582" t="str">
            <v>De Guzman, Roger</v>
          </cell>
        </row>
        <row r="582">
          <cell r="BS582" t="str">
            <v>Residential</v>
          </cell>
          <cell r="BT582" t="str">
            <v>Structure Renter</v>
          </cell>
        </row>
        <row r="582">
          <cell r="JP582">
            <v>100</v>
          </cell>
        </row>
        <row r="582">
          <cell r="VV582" t="str">
            <v>legal-r 579</v>
          </cell>
        </row>
        <row r="583">
          <cell r="A583" t="str">
            <v>legal-r 579</v>
          </cell>
        </row>
        <row r="583">
          <cell r="C583" t="str">
            <v>CA-123</v>
          </cell>
        </row>
        <row r="583">
          <cell r="E583" t="str">
            <v>443 C. Namie St., Barangay 25 Caloocan City</v>
          </cell>
        </row>
        <row r="583">
          <cell r="Q583" t="str">
            <v>R</v>
          </cell>
        </row>
        <row r="583">
          <cell r="T583" t="str">
            <v>De Guzman, Wowie</v>
          </cell>
        </row>
        <row r="583">
          <cell r="BS583" t="str">
            <v>Residential</v>
          </cell>
          <cell r="BT583" t="str">
            <v>Structure Renter</v>
          </cell>
        </row>
        <row r="583">
          <cell r="JP583">
            <v>300</v>
          </cell>
        </row>
        <row r="583">
          <cell r="JR583" t="str">
            <v>Need Displacement</v>
          </cell>
        </row>
        <row r="584">
          <cell r="A584" t="str">
            <v>legal-r 579</v>
          </cell>
        </row>
        <row r="584">
          <cell r="C584" t="str">
            <v>CA-123</v>
          </cell>
        </row>
        <row r="584">
          <cell r="E584" t="str">
            <v>443 C. Namie St., Barangay 25 Caloocan City</v>
          </cell>
        </row>
        <row r="584">
          <cell r="Q584" t="str">
            <v>R</v>
          </cell>
        </row>
        <row r="584">
          <cell r="T584" t="str">
            <v>Grecia, Ramil</v>
          </cell>
        </row>
        <row r="584">
          <cell r="BS584" t="str">
            <v>Residential</v>
          </cell>
          <cell r="BT584" t="str">
            <v>Structure Renter</v>
          </cell>
        </row>
        <row r="584">
          <cell r="JP584">
            <v>100</v>
          </cell>
        </row>
        <row r="584">
          <cell r="VV584" t="str">
            <v>legal-r 579</v>
          </cell>
        </row>
        <row r="585">
          <cell r="A585" t="str">
            <v>legal-r 579</v>
          </cell>
        </row>
        <row r="585">
          <cell r="C585" t="str">
            <v>CA-123</v>
          </cell>
        </row>
        <row r="585">
          <cell r="E585" t="str">
            <v>443 C. Namie St., Barangay 25 Caloocan City</v>
          </cell>
        </row>
        <row r="585">
          <cell r="Q585" t="str">
            <v>R</v>
          </cell>
        </row>
        <row r="585">
          <cell r="T585" t="str">
            <v>Santos Jr, Angel</v>
          </cell>
        </row>
        <row r="585">
          <cell r="BS585" t="str">
            <v>Residential</v>
          </cell>
          <cell r="BT585" t="str">
            <v>Structure Renter</v>
          </cell>
        </row>
        <row r="585">
          <cell r="JP585">
            <v>100</v>
          </cell>
        </row>
        <row r="585">
          <cell r="VV585" t="str">
            <v>legal-r 579</v>
          </cell>
        </row>
        <row r="586">
          <cell r="A586" t="str">
            <v>legal-r 579</v>
          </cell>
        </row>
        <row r="586">
          <cell r="C586" t="str">
            <v>CA-123</v>
          </cell>
        </row>
        <row r="586">
          <cell r="E586" t="str">
            <v>443 C. Namie St., Barangay 25 Caloocan City</v>
          </cell>
        </row>
        <row r="586">
          <cell r="Q586" t="str">
            <v>R</v>
          </cell>
        </row>
        <row r="586">
          <cell r="T586" t="str">
            <v>Macaraeg, Rodolfo</v>
          </cell>
        </row>
        <row r="586">
          <cell r="BS586" t="str">
            <v>Residential</v>
          </cell>
          <cell r="BT586" t="str">
            <v>Structure Renter</v>
          </cell>
        </row>
        <row r="586">
          <cell r="JR586" t="str">
            <v>Need Displacement</v>
          </cell>
        </row>
        <row r="586">
          <cell r="VV586" t="str">
            <v>legal-r 579</v>
          </cell>
        </row>
        <row r="587">
          <cell r="A587" t="str">
            <v>legal-r 579</v>
          </cell>
        </row>
        <row r="587">
          <cell r="C587" t="str">
            <v>CA-123</v>
          </cell>
        </row>
        <row r="587">
          <cell r="E587" t="str">
            <v>443 C. Namie St., Barangay 25 Caloocan City</v>
          </cell>
        </row>
        <row r="587">
          <cell r="T587" t="str">
            <v>Daniel De Guzman </v>
          </cell>
        </row>
        <row r="587">
          <cell r="BS587" t="str">
            <v>Residential</v>
          </cell>
          <cell r="BT587" t="str">
            <v>Structure Renter</v>
          </cell>
        </row>
        <row r="587">
          <cell r="VV587" t="str">
            <v>legal-r 579</v>
          </cell>
        </row>
        <row r="588">
          <cell r="A588" t="str">
            <v>legal-r 579</v>
          </cell>
        </row>
        <row r="588">
          <cell r="C588" t="str">
            <v>CA-123</v>
          </cell>
        </row>
        <row r="588">
          <cell r="E588" t="str">
            <v>443 C. Namie St., Barangay 25 Caloocan City</v>
          </cell>
        </row>
        <row r="588">
          <cell r="Q588" t="str">
            <v>R</v>
          </cell>
        </row>
        <row r="588">
          <cell r="T588" t="str">
            <v>Santos, Rogelio</v>
          </cell>
        </row>
        <row r="588">
          <cell r="BS588" t="str">
            <v>Residential</v>
          </cell>
          <cell r="BT588" t="str">
            <v>Structure Renter</v>
          </cell>
        </row>
        <row r="588">
          <cell r="JP588">
            <v>500</v>
          </cell>
        </row>
        <row r="588">
          <cell r="VV588" t="str">
            <v>legal-r 579</v>
          </cell>
        </row>
        <row r="589">
          <cell r="A589" t="str">
            <v>legal</v>
          </cell>
        </row>
        <row r="589">
          <cell r="C589" t="str">
            <v>CA-124</v>
          </cell>
        </row>
        <row r="589">
          <cell r="E589" t="str">
            <v>441 C. Namie St., Barangay 25 Caloocan City</v>
          </cell>
        </row>
        <row r="589">
          <cell r="Q589" t="str">
            <v>R</v>
          </cell>
        </row>
        <row r="589">
          <cell r="T589" t="str">
            <v>Dela Cruz, Jose</v>
          </cell>
        </row>
        <row r="589">
          <cell r="AS589">
            <v>0.474358974358974</v>
          </cell>
        </row>
        <row r="589">
          <cell r="BS589" t="str">
            <v>Residential</v>
          </cell>
          <cell r="BT589" t="str">
            <v>Structure Owner</v>
          </cell>
        </row>
        <row r="589">
          <cell r="JR589" t="str">
            <v>Need Displacement</v>
          </cell>
        </row>
        <row r="589">
          <cell r="KI589" t="str">
            <v>Relocation</v>
          </cell>
          <cell r="KJ589" t="str">
            <v>In City</v>
          </cell>
        </row>
        <row r="589">
          <cell r="KL589" t="str">
            <v>Disiplina Village (Brgy Bignay, Valenzuela City)</v>
          </cell>
        </row>
        <row r="589">
          <cell r="KR589" t="str">
            <v>x</v>
          </cell>
        </row>
        <row r="589">
          <cell r="KX589" t="str">
            <v>Y</v>
          </cell>
        </row>
        <row r="589">
          <cell r="KZ589" t="str">
            <v>x</v>
          </cell>
        </row>
        <row r="589">
          <cell r="LB589" t="str">
            <v>x</v>
          </cell>
          <cell r="LC589" t="str">
            <v>x</v>
          </cell>
          <cell r="LD589" t="str">
            <v>x</v>
          </cell>
          <cell r="LE589" t="str">
            <v>x</v>
          </cell>
          <cell r="LF589" t="str">
            <v>x</v>
          </cell>
        </row>
        <row r="589">
          <cell r="VV589" t="str">
            <v>legal</v>
          </cell>
        </row>
        <row r="590">
          <cell r="A590" t="str">
            <v>isf</v>
          </cell>
        </row>
        <row r="590">
          <cell r="C590" t="str">
            <v>CA-125</v>
          </cell>
        </row>
        <row r="590">
          <cell r="E590" t="str">
            <v>441 C. Namie St., Barangay 25 Caloocan City</v>
          </cell>
        </row>
        <row r="590">
          <cell r="Q590" t="str">
            <v>R</v>
          </cell>
        </row>
        <row r="590">
          <cell r="T590" t="str">
            <v>Dela Cruz, Reginald</v>
          </cell>
        </row>
        <row r="590">
          <cell r="AS590">
            <v>1</v>
          </cell>
        </row>
        <row r="590">
          <cell r="BS590" t="str">
            <v>Residential</v>
          </cell>
          <cell r="BT590" t="str">
            <v>Structure Owner</v>
          </cell>
        </row>
        <row r="590">
          <cell r="JR590" t="str">
            <v>Need Displacement</v>
          </cell>
        </row>
        <row r="590">
          <cell r="KI590" t="str">
            <v>Relocation</v>
          </cell>
          <cell r="KJ590" t="str">
            <v>In City</v>
          </cell>
        </row>
        <row r="590">
          <cell r="KL590" t="str">
            <v>Disiplina Village (Brgy Bignay, Valenzuela City)</v>
          </cell>
        </row>
        <row r="590">
          <cell r="KQ590" t="str">
            <v>x</v>
          </cell>
          <cell r="KR590" t="str">
            <v>x</v>
          </cell>
          <cell r="KS590" t="str">
            <v>x</v>
          </cell>
          <cell r="KT590" t="str">
            <v>x</v>
          </cell>
          <cell r="KU590" t="str">
            <v>x</v>
          </cell>
        </row>
        <row r="590">
          <cell r="KZ590" t="str">
            <v>x</v>
          </cell>
          <cell r="LA590" t="str">
            <v>x</v>
          </cell>
          <cell r="LB590" t="str">
            <v>x</v>
          </cell>
          <cell r="LC590" t="str">
            <v>x</v>
          </cell>
          <cell r="LD590" t="str">
            <v>x</v>
          </cell>
          <cell r="LE590" t="str">
            <v>x</v>
          </cell>
          <cell r="LF590" t="str">
            <v>x</v>
          </cell>
        </row>
        <row r="591">
          <cell r="A591" t="str">
            <v>isf</v>
          </cell>
        </row>
        <row r="591">
          <cell r="C591" t="str">
            <v>CA-126</v>
          </cell>
        </row>
        <row r="591">
          <cell r="E591" t="str">
            <v>441 C. Namie St., Barangay 25 Caloocan City</v>
          </cell>
        </row>
        <row r="591">
          <cell r="Q591" t="str">
            <v>R</v>
          </cell>
        </row>
        <row r="591">
          <cell r="T591" t="str">
            <v>Genon, Jocelyn</v>
          </cell>
        </row>
        <row r="591">
          <cell r="AS591">
            <v>1</v>
          </cell>
        </row>
        <row r="591">
          <cell r="BS591" t="str">
            <v>Residential</v>
          </cell>
          <cell r="BT591" t="str">
            <v>Structure Owner</v>
          </cell>
        </row>
        <row r="591">
          <cell r="JR591" t="str">
            <v>Need Displacement</v>
          </cell>
        </row>
        <row r="591">
          <cell r="KI591" t="str">
            <v>Relocation</v>
          </cell>
          <cell r="KJ591" t="str">
            <v>In City</v>
          </cell>
        </row>
        <row r="591">
          <cell r="KL591" t="str">
            <v>Disiplina Village (Brgy Bignay, Valenzuela City)</v>
          </cell>
        </row>
        <row r="591">
          <cell r="KR591" t="str">
            <v>x</v>
          </cell>
        </row>
        <row r="591">
          <cell r="KX591" t="str">
            <v>Y</v>
          </cell>
        </row>
        <row r="591">
          <cell r="KZ591" t="str">
            <v>x</v>
          </cell>
        </row>
        <row r="591">
          <cell r="LB591" t="str">
            <v>x</v>
          </cell>
          <cell r="LC591" t="str">
            <v>x</v>
          </cell>
          <cell r="LD591" t="str">
            <v>x</v>
          </cell>
          <cell r="LE591" t="str">
            <v>x</v>
          </cell>
          <cell r="LF591" t="str">
            <v>x</v>
          </cell>
        </row>
        <row r="592">
          <cell r="A592" t="str">
            <v>legal</v>
          </cell>
        </row>
        <row r="592">
          <cell r="C592" t="str">
            <v>CA-127</v>
          </cell>
        </row>
        <row r="592">
          <cell r="E592" t="str">
            <v>441 C. Namie St., Barangay 25 Caloocan City</v>
          </cell>
        </row>
        <row r="592">
          <cell r="Q592" t="str">
            <v>R</v>
          </cell>
        </row>
        <row r="592">
          <cell r="T592" t="str">
            <v>Francisco, Ferdinand</v>
          </cell>
        </row>
        <row r="592">
          <cell r="BS592" t="str">
            <v>Residential</v>
          </cell>
          <cell r="BT592" t="str">
            <v>Structure Owner</v>
          </cell>
        </row>
        <row r="592">
          <cell r="JR592" t="str">
            <v>Need Displacement</v>
          </cell>
        </row>
        <row r="592">
          <cell r="KI592" t="str">
            <v>Relocation</v>
          </cell>
          <cell r="KJ592" t="str">
            <v>Bulacan</v>
          </cell>
        </row>
        <row r="592">
          <cell r="KL592" t="str">
            <v>Disiplina Village (Brgy Bignay, Valenzuela City)</v>
          </cell>
        </row>
        <row r="592">
          <cell r="KQ592" t="str">
            <v>x</v>
          </cell>
          <cell r="KR592" t="str">
            <v>x</v>
          </cell>
          <cell r="KS592" t="str">
            <v>x</v>
          </cell>
          <cell r="KT592" t="str">
            <v>x</v>
          </cell>
          <cell r="KU592" t="str">
            <v>x</v>
          </cell>
        </row>
        <row r="592">
          <cell r="KX592" t="str">
            <v>Y</v>
          </cell>
        </row>
        <row r="592">
          <cell r="KZ592" t="str">
            <v>x</v>
          </cell>
          <cell r="LA592" t="str">
            <v>x</v>
          </cell>
          <cell r="LB592" t="str">
            <v>x</v>
          </cell>
          <cell r="LC592" t="str">
            <v>x</v>
          </cell>
          <cell r="LD592" t="str">
            <v>x</v>
          </cell>
          <cell r="LE592" t="str">
            <v>x</v>
          </cell>
          <cell r="LF592" t="str">
            <v>x</v>
          </cell>
        </row>
        <row r="592">
          <cell r="VV592" t="str">
            <v>legal</v>
          </cell>
        </row>
        <row r="593">
          <cell r="A593" t="str">
            <v>legal</v>
          </cell>
        </row>
        <row r="593">
          <cell r="C593" t="str">
            <v>CA-128</v>
          </cell>
        </row>
        <row r="593">
          <cell r="E593" t="str">
            <v>441 C. Namie St., Barangay 25 Caloocan City</v>
          </cell>
        </row>
        <row r="593">
          <cell r="Q593" t="str">
            <v>R</v>
          </cell>
        </row>
        <row r="593">
          <cell r="T593" t="str">
            <v>Hagos, Adrian</v>
          </cell>
        </row>
        <row r="593">
          <cell r="BS593" t="str">
            <v>Residential</v>
          </cell>
          <cell r="BT593" t="str">
            <v>Structure Owner</v>
          </cell>
        </row>
        <row r="593">
          <cell r="JR593" t="str">
            <v>Need Displacement</v>
          </cell>
        </row>
        <row r="593">
          <cell r="KI593" t="str">
            <v>Relocation</v>
          </cell>
          <cell r="KJ593" t="str">
            <v>In City</v>
          </cell>
        </row>
        <row r="593">
          <cell r="KL593" t="str">
            <v>Disiplina Village (Brgy Bignay, Valenzuela City)</v>
          </cell>
        </row>
        <row r="593">
          <cell r="KR593" t="str">
            <v>x</v>
          </cell>
        </row>
        <row r="593">
          <cell r="KX593" t="str">
            <v>Y</v>
          </cell>
        </row>
        <row r="593">
          <cell r="KZ593" t="str">
            <v>x</v>
          </cell>
        </row>
        <row r="593">
          <cell r="LB593" t="str">
            <v>x</v>
          </cell>
          <cell r="LC593" t="str">
            <v>x</v>
          </cell>
          <cell r="LD593" t="str">
            <v>x</v>
          </cell>
          <cell r="LE593" t="str">
            <v>x</v>
          </cell>
          <cell r="LF593" t="str">
            <v>x</v>
          </cell>
        </row>
        <row r="594">
          <cell r="A594" t="str">
            <v>legal</v>
          </cell>
        </row>
        <row r="594">
          <cell r="C594" t="str">
            <v>CA-129</v>
          </cell>
        </row>
        <row r="594">
          <cell r="E594" t="str">
            <v>24 Interior.6 C. Namie St., Brgy.25 Caloocan City</v>
          </cell>
        </row>
        <row r="594">
          <cell r="Q594" t="str">
            <v>R</v>
          </cell>
        </row>
        <row r="594">
          <cell r="T594" t="str">
            <v>Carceller, Cayetano</v>
          </cell>
        </row>
        <row r="594">
          <cell r="AS594">
            <v>0.346153846153846</v>
          </cell>
        </row>
        <row r="594">
          <cell r="BS594" t="str">
            <v>Residential</v>
          </cell>
          <cell r="BT594" t="str">
            <v>Structure Owner</v>
          </cell>
        </row>
        <row r="594">
          <cell r="JR594" t="str">
            <v>Need Displacement</v>
          </cell>
        </row>
        <row r="594">
          <cell r="KI594" t="str">
            <v>Cash  Compensation</v>
          </cell>
        </row>
        <row r="594">
          <cell r="VV594" t="str">
            <v>legal</v>
          </cell>
        </row>
        <row r="595">
          <cell r="A595" t="str">
            <v>legal</v>
          </cell>
        </row>
        <row r="595">
          <cell r="C595" t="str">
            <v>CA-130</v>
          </cell>
        </row>
        <row r="595">
          <cell r="E595" t="str">
            <v>21 C. Namie St., Barangay 25 Caloocan City</v>
          </cell>
        </row>
        <row r="595">
          <cell r="Q595" t="str">
            <v>R</v>
          </cell>
        </row>
        <row r="595">
          <cell r="AS595">
            <v>0.283018867924528</v>
          </cell>
        </row>
        <row r="595">
          <cell r="BS595" t="str">
            <v>Residential</v>
          </cell>
          <cell r="BT595" t="str">
            <v>Structure Owner</v>
          </cell>
        </row>
        <row r="595">
          <cell r="JR595" t="str">
            <v>Can Stay</v>
          </cell>
        </row>
        <row r="595">
          <cell r="VV595" t="str">
            <v>legal</v>
          </cell>
        </row>
        <row r="596">
          <cell r="A596" t="str">
            <v>isf</v>
          </cell>
        </row>
        <row r="596">
          <cell r="C596" t="str">
            <v>CA-131</v>
          </cell>
        </row>
        <row r="596">
          <cell r="E596" t="str">
            <v>25 C. Namie St., Barangay 25 Caloocan City</v>
          </cell>
        </row>
        <row r="596">
          <cell r="Q596" t="str">
            <v>R</v>
          </cell>
        </row>
        <row r="596">
          <cell r="T596" t="str">
            <v>Acompañado, Teodulo</v>
          </cell>
        </row>
        <row r="596">
          <cell r="AS596">
            <v>0.772727272727273</v>
          </cell>
        </row>
        <row r="596">
          <cell r="BS596" t="str">
            <v>Residential</v>
          </cell>
          <cell r="BT596" t="str">
            <v>Structure Owner</v>
          </cell>
        </row>
        <row r="596">
          <cell r="JR596" t="str">
            <v>Need Displacement</v>
          </cell>
        </row>
        <row r="596">
          <cell r="KI596" t="str">
            <v>Relocation</v>
          </cell>
        </row>
        <row r="596">
          <cell r="KL596" t="str">
            <v>Pandi Residences (Brgy. Mapulang Lupa, Pandi, Bulacan)</v>
          </cell>
        </row>
        <row r="596">
          <cell r="KQ596" t="str">
            <v>x</v>
          </cell>
          <cell r="KR596" t="str">
            <v>x</v>
          </cell>
          <cell r="KS596" t="str">
            <v>x</v>
          </cell>
          <cell r="KT596" t="str">
            <v>x</v>
          </cell>
          <cell r="KU596" t="str">
            <v>x</v>
          </cell>
        </row>
        <row r="596">
          <cell r="KX596" t="str">
            <v>Y</v>
          </cell>
        </row>
        <row r="596">
          <cell r="KZ596" t="str">
            <v>x</v>
          </cell>
          <cell r="LA596" t="str">
            <v>x</v>
          </cell>
          <cell r="LB596" t="str">
            <v>x</v>
          </cell>
          <cell r="LC596" t="str">
            <v>x</v>
          </cell>
          <cell r="LD596" t="str">
            <v>x</v>
          </cell>
          <cell r="LE596" t="str">
            <v>x</v>
          </cell>
          <cell r="LF596" t="str">
            <v>x</v>
          </cell>
        </row>
        <row r="597">
          <cell r="A597" t="str">
            <v>isf</v>
          </cell>
        </row>
        <row r="597">
          <cell r="C597" t="str">
            <v>CA-132</v>
          </cell>
        </row>
        <row r="597">
          <cell r="E597" t="str">
            <v>25 C. Namie St., Barangay 25 Caloocan City</v>
          </cell>
        </row>
        <row r="597">
          <cell r="Q597" t="str">
            <v>R</v>
          </cell>
        </row>
        <row r="597">
          <cell r="T597" t="str">
            <v>Pelegrino, Laren</v>
          </cell>
        </row>
        <row r="597">
          <cell r="AS597">
            <v>0.178571428571429</v>
          </cell>
        </row>
        <row r="597">
          <cell r="BS597" t="str">
            <v>Residential</v>
          </cell>
          <cell r="BT597" t="str">
            <v>Co-Owner</v>
          </cell>
        </row>
        <row r="597">
          <cell r="JP597">
            <v>300</v>
          </cell>
        </row>
        <row r="597">
          <cell r="JR597" t="str">
            <v>Can Stay</v>
          </cell>
        </row>
        <row r="598">
          <cell r="A598" t="str">
            <v>isf-co-597</v>
          </cell>
        </row>
        <row r="598">
          <cell r="C598" t="str">
            <v>CA-132</v>
          </cell>
        </row>
        <row r="598">
          <cell r="E598" t="str">
            <v>25 C. Namie St., Barangay 25 Caloocan City</v>
          </cell>
        </row>
        <row r="598">
          <cell r="Q598" t="str">
            <v>R</v>
          </cell>
        </row>
        <row r="598">
          <cell r="T598" t="str">
            <v>Dela Paz, Junita</v>
          </cell>
        </row>
        <row r="598">
          <cell r="BS598" t="str">
            <v>Residential</v>
          </cell>
          <cell r="BT598" t="str">
            <v>Co-Owner</v>
          </cell>
        </row>
        <row r="598">
          <cell r="JR598" t="str">
            <v>Can Stay</v>
          </cell>
        </row>
        <row r="599">
          <cell r="A599" t="str">
            <v>isf-co-597</v>
          </cell>
        </row>
        <row r="599">
          <cell r="C599" t="str">
            <v>CA-132</v>
          </cell>
        </row>
        <row r="599">
          <cell r="E599" t="str">
            <v>25 C. Namie St., Barangay 25 Caloocan City</v>
          </cell>
        </row>
        <row r="599">
          <cell r="Q599" t="str">
            <v>R</v>
          </cell>
        </row>
        <row r="599">
          <cell r="T599" t="str">
            <v>Panoy Jr, Benjamin</v>
          </cell>
        </row>
        <row r="599">
          <cell r="BS599" t="str">
            <v>Residential</v>
          </cell>
          <cell r="BT599" t="str">
            <v>Co-Owner</v>
          </cell>
        </row>
        <row r="599">
          <cell r="JR599" t="str">
            <v>Can Stay</v>
          </cell>
        </row>
        <row r="600">
          <cell r="A600" t="str">
            <v>isf-co-597</v>
          </cell>
        </row>
        <row r="600">
          <cell r="C600" t="str">
            <v>CA-132</v>
          </cell>
        </row>
        <row r="600">
          <cell r="E600" t="str">
            <v>25 C. Namie St., Barangay 25 Caloocan City</v>
          </cell>
        </row>
        <row r="600">
          <cell r="Q600" t="str">
            <v>R</v>
          </cell>
        </row>
        <row r="600">
          <cell r="T600" t="str">
            <v>Carceller, Rizaldy</v>
          </cell>
        </row>
        <row r="600">
          <cell r="BS600" t="str">
            <v>Residential</v>
          </cell>
          <cell r="BT600" t="str">
            <v>Co-Owner</v>
          </cell>
        </row>
        <row r="600">
          <cell r="JR600" t="str">
            <v>Can Stay</v>
          </cell>
        </row>
        <row r="601">
          <cell r="A601" t="str">
            <v>isf</v>
          </cell>
        </row>
        <row r="601">
          <cell r="C601" t="str">
            <v>CA-133</v>
          </cell>
        </row>
        <row r="601">
          <cell r="E601" t="str">
            <v>27 C. Namie St., Barangay 25 Caloocan City</v>
          </cell>
        </row>
        <row r="601">
          <cell r="Q601" t="str">
            <v>R</v>
          </cell>
        </row>
        <row r="601">
          <cell r="T601" t="str">
            <v>Saoquillo, Reynelyn</v>
          </cell>
        </row>
        <row r="601">
          <cell r="AS601">
            <v>1</v>
          </cell>
        </row>
        <row r="601">
          <cell r="BS601" t="str">
            <v>Residential</v>
          </cell>
          <cell r="BT601" t="str">
            <v>Structure Owner</v>
          </cell>
        </row>
        <row r="601">
          <cell r="JP601">
            <v>300</v>
          </cell>
        </row>
        <row r="601">
          <cell r="JR601" t="str">
            <v>Need Displacement</v>
          </cell>
        </row>
        <row r="601">
          <cell r="KI601" t="str">
            <v>No Answer</v>
          </cell>
        </row>
        <row r="602">
          <cell r="A602" t="str">
            <v>legal</v>
          </cell>
        </row>
        <row r="602">
          <cell r="C602" t="str">
            <v>CA-134</v>
          </cell>
        </row>
        <row r="602">
          <cell r="E602" t="str">
            <v>27 C. Namie St., Barangay 25 Caloocan City</v>
          </cell>
        </row>
        <row r="602">
          <cell r="Q602" t="str">
            <v>R</v>
          </cell>
        </row>
        <row r="602">
          <cell r="T602" t="str">
            <v>Gamboa, Cesar</v>
          </cell>
        </row>
        <row r="602">
          <cell r="AS602">
            <v>0.355029585798817</v>
          </cell>
        </row>
        <row r="602">
          <cell r="BS602" t="str">
            <v>Residential</v>
          </cell>
          <cell r="BT602" t="str">
            <v>Structure Owner</v>
          </cell>
        </row>
        <row r="602">
          <cell r="JR602" t="str">
            <v>Need Displacement</v>
          </cell>
        </row>
        <row r="602">
          <cell r="KI602" t="str">
            <v>Cash Compensation</v>
          </cell>
        </row>
        <row r="603">
          <cell r="A603" t="str">
            <v>legal-r 602</v>
          </cell>
        </row>
        <row r="603">
          <cell r="C603" t="str">
            <v>CA-134</v>
          </cell>
        </row>
        <row r="603">
          <cell r="E603" t="str">
            <v>27 C. Namie St., Barangay 25 Caloocan City</v>
          </cell>
        </row>
        <row r="603">
          <cell r="Q603" t="str">
            <v>R</v>
          </cell>
        </row>
        <row r="603">
          <cell r="T603" t="str">
            <v>Garbo, Lino</v>
          </cell>
        </row>
        <row r="603">
          <cell r="BS603" t="str">
            <v>Residential</v>
          </cell>
          <cell r="BT603" t="str">
            <v>Structure Renter</v>
          </cell>
        </row>
        <row r="603">
          <cell r="JR603" t="str">
            <v>Can Stay</v>
          </cell>
        </row>
        <row r="603">
          <cell r="VV603" t="str">
            <v>legal-r 602</v>
          </cell>
        </row>
        <row r="604">
          <cell r="A604" t="str">
            <v>legal-r 602</v>
          </cell>
        </row>
        <row r="604">
          <cell r="C604" t="str">
            <v>CA-134</v>
          </cell>
        </row>
        <row r="604">
          <cell r="E604" t="str">
            <v>27 C. Namie St., Barangay 25 Caloocan City</v>
          </cell>
        </row>
        <row r="604">
          <cell r="Q604" t="str">
            <v>R</v>
          </cell>
        </row>
        <row r="604">
          <cell r="T604" t="str">
            <v>Soria, Maricar</v>
          </cell>
        </row>
        <row r="604">
          <cell r="BS604" t="str">
            <v>Residential</v>
          </cell>
          <cell r="BT604" t="str">
            <v>Structure Renter</v>
          </cell>
        </row>
        <row r="604">
          <cell r="JP604">
            <v>200</v>
          </cell>
        </row>
        <row r="604">
          <cell r="JR604" t="str">
            <v>Can Stay</v>
          </cell>
        </row>
        <row r="604">
          <cell r="VV604" t="str">
            <v>legal-r 602</v>
          </cell>
        </row>
        <row r="605">
          <cell r="A605" t="str">
            <v>legal</v>
          </cell>
        </row>
        <row r="605">
          <cell r="C605" t="str">
            <v>CA-135</v>
          </cell>
        </row>
        <row r="605">
          <cell r="E605" t="str">
            <v>27 C. Namie St., Barangay 25 Caloocan City</v>
          </cell>
        </row>
        <row r="605">
          <cell r="Q605" t="str">
            <v>R</v>
          </cell>
        </row>
        <row r="605">
          <cell r="T605" t="str">
            <v>Gamboa, Helen</v>
          </cell>
        </row>
        <row r="605">
          <cell r="AS605">
            <v>0.151162790697674</v>
          </cell>
        </row>
        <row r="605">
          <cell r="BS605" t="str">
            <v>Residential</v>
          </cell>
          <cell r="BT605" t="str">
            <v>Structure Owner</v>
          </cell>
        </row>
        <row r="605">
          <cell r="JR605" t="str">
            <v>Can Stay</v>
          </cell>
        </row>
        <row r="605">
          <cell r="KI605" t="str">
            <v>Cash Compensation</v>
          </cell>
        </row>
        <row r="605">
          <cell r="VV605" t="str">
            <v>legal</v>
          </cell>
        </row>
        <row r="606">
          <cell r="A606" t="str">
            <v>legal</v>
          </cell>
        </row>
        <row r="606">
          <cell r="C606" t="str">
            <v>CA-136</v>
          </cell>
        </row>
        <row r="606">
          <cell r="E606" t="str">
            <v>27-B, C. Namie St., Barangay 25 Caloocan City</v>
          </cell>
        </row>
        <row r="606">
          <cell r="Q606" t="str">
            <v>R</v>
          </cell>
        </row>
        <row r="606">
          <cell r="T606" t="str">
            <v>Maramba, Margarita</v>
          </cell>
        </row>
        <row r="606">
          <cell r="AS606">
            <v>0.128712871287129</v>
          </cell>
        </row>
        <row r="606">
          <cell r="BS606" t="str">
            <v>Residential</v>
          </cell>
          <cell r="BT606" t="str">
            <v>Structure Owner</v>
          </cell>
        </row>
        <row r="606">
          <cell r="JP606">
            <v>300</v>
          </cell>
        </row>
        <row r="606">
          <cell r="JR606" t="str">
            <v>Can Stay</v>
          </cell>
        </row>
        <row r="606">
          <cell r="VV606" t="str">
            <v>legal</v>
          </cell>
        </row>
        <row r="607">
          <cell r="A607" t="str">
            <v>isf</v>
          </cell>
        </row>
        <row r="607">
          <cell r="C607" t="str">
            <v>CA-137</v>
          </cell>
        </row>
        <row r="607">
          <cell r="E607" t="str">
            <v>28 C. Namie St., Barangay 25 Caloocan City</v>
          </cell>
        </row>
        <row r="607">
          <cell r="Q607" t="str">
            <v>R</v>
          </cell>
        </row>
        <row r="607">
          <cell r="T607" t="str">
            <v>Colonia, Jhundel</v>
          </cell>
        </row>
        <row r="607">
          <cell r="AS607">
            <v>1</v>
          </cell>
        </row>
        <row r="607">
          <cell r="BS607" t="str">
            <v>Residential</v>
          </cell>
          <cell r="BT607" t="str">
            <v>Structure Owner</v>
          </cell>
        </row>
        <row r="607">
          <cell r="JR607" t="str">
            <v>Need Displacement</v>
          </cell>
        </row>
        <row r="607">
          <cell r="KI607" t="str">
            <v>Relocation</v>
          </cell>
        </row>
        <row r="607">
          <cell r="KL607" t="str">
            <v>Disiplina Village (Brgy Bignay, Valenzuela City)</v>
          </cell>
        </row>
        <row r="607">
          <cell r="KQ607" t="str">
            <v>x</v>
          </cell>
          <cell r="KR607" t="str">
            <v>x</v>
          </cell>
          <cell r="KS607" t="str">
            <v>x</v>
          </cell>
          <cell r="KT607" t="str">
            <v>x</v>
          </cell>
          <cell r="KU607" t="str">
            <v>x</v>
          </cell>
        </row>
        <row r="607">
          <cell r="KX607" t="str">
            <v>Y</v>
          </cell>
        </row>
        <row r="607">
          <cell r="KZ607" t="str">
            <v>x</v>
          </cell>
          <cell r="LA607" t="str">
            <v>x</v>
          </cell>
          <cell r="LB607" t="str">
            <v>x</v>
          </cell>
          <cell r="LC607" t="str">
            <v>x</v>
          </cell>
          <cell r="LD607" t="str">
            <v>x</v>
          </cell>
          <cell r="LE607" t="str">
            <v>x</v>
          </cell>
          <cell r="LF607" t="str">
            <v>x</v>
          </cell>
        </row>
        <row r="608">
          <cell r="A608" t="str">
            <v>isf</v>
          </cell>
        </row>
        <row r="608">
          <cell r="C608" t="str">
            <v>CA-138A</v>
          </cell>
        </row>
        <row r="608">
          <cell r="E608" t="str">
            <v>28 C. Namie St., Barangay 25 Caloocan City</v>
          </cell>
        </row>
        <row r="608">
          <cell r="Q608" t="str">
            <v>R</v>
          </cell>
        </row>
        <row r="608">
          <cell r="T608" t="str">
            <v>Lambungan, Gerardo</v>
          </cell>
        </row>
        <row r="608">
          <cell r="AS608">
            <v>0.126475793857366</v>
          </cell>
        </row>
        <row r="608">
          <cell r="BS608" t="str">
            <v>Residential</v>
          </cell>
          <cell r="BT608" t="str">
            <v>Structure Owner</v>
          </cell>
        </row>
        <row r="608">
          <cell r="JR608" t="str">
            <v>Can Stay</v>
          </cell>
        </row>
        <row r="609">
          <cell r="A609" t="str">
            <v> isf 609 </v>
          </cell>
        </row>
        <row r="609">
          <cell r="C609" t="str">
            <v>CA-138B</v>
          </cell>
        </row>
        <row r="609">
          <cell r="E609" t="str">
            <v>28 C. Namie St., Barangay 25 Caloocan City</v>
          </cell>
        </row>
        <row r="609">
          <cell r="Q609" t="str">
            <v>R</v>
          </cell>
        </row>
        <row r="609">
          <cell r="T609" t="str">
            <v>Lambungan, Herminio</v>
          </cell>
        </row>
        <row r="609">
          <cell r="AS609">
            <v>0.126475793857366</v>
          </cell>
        </row>
        <row r="609">
          <cell r="BS609" t="str">
            <v>Residential</v>
          </cell>
          <cell r="BT609" t="str">
            <v>Co-Owner</v>
          </cell>
        </row>
        <row r="609">
          <cell r="JR609" t="str">
            <v>Can Stay</v>
          </cell>
        </row>
        <row r="610">
          <cell r="A610" t="str">
            <v>isf</v>
          </cell>
        </row>
        <row r="610">
          <cell r="C610" t="str">
            <v>CA-139</v>
          </cell>
        </row>
        <row r="610">
          <cell r="E610" t="str">
            <v>28 C. Namie St., Barangay 25 Caloocan City</v>
          </cell>
        </row>
        <row r="610">
          <cell r="Q610" t="str">
            <v>R</v>
          </cell>
        </row>
        <row r="610">
          <cell r="T610" t="str">
            <v>Lambungan, Francis</v>
          </cell>
        </row>
        <row r="610">
          <cell r="AS610">
            <v>0.82520325203252</v>
          </cell>
        </row>
        <row r="610">
          <cell r="BS610" t="str">
            <v>Residential</v>
          </cell>
          <cell r="BT610" t="str">
            <v>Structure Owner</v>
          </cell>
        </row>
        <row r="610">
          <cell r="JR610" t="str">
            <v>Need Displacement</v>
          </cell>
        </row>
        <row r="610">
          <cell r="KI610" t="str">
            <v>Cash Compensation/ Balik Probinsiya Program</v>
          </cell>
        </row>
        <row r="611">
          <cell r="A611" t="str">
            <v>isf</v>
          </cell>
        </row>
        <row r="611">
          <cell r="C611" t="str">
            <v>CA-140</v>
          </cell>
        </row>
        <row r="611">
          <cell r="E611" t="str">
            <v>28 C. Namie St., Barangay 25 Caloocan City</v>
          </cell>
        </row>
        <row r="611">
          <cell r="Q611" t="str">
            <v>R</v>
          </cell>
        </row>
        <row r="611">
          <cell r="T611" t="str">
            <v>Elnar, Arlo</v>
          </cell>
        </row>
        <row r="611">
          <cell r="AS611">
            <v>1</v>
          </cell>
        </row>
        <row r="611">
          <cell r="BS611" t="str">
            <v>Residential</v>
          </cell>
          <cell r="BT611" t="str">
            <v>Structure Owner</v>
          </cell>
        </row>
        <row r="611">
          <cell r="JR611" t="str">
            <v>Need Displacement</v>
          </cell>
        </row>
        <row r="611">
          <cell r="KI611" t="str">
            <v>Relocation</v>
          </cell>
        </row>
        <row r="611">
          <cell r="KL611" t="str">
            <v>Disiplina Village (Brgy Bignay, Valenzuela City)</v>
          </cell>
        </row>
        <row r="611">
          <cell r="KQ611" t="str">
            <v>x</v>
          </cell>
          <cell r="KR611" t="str">
            <v>x</v>
          </cell>
          <cell r="KS611" t="str">
            <v>x</v>
          </cell>
          <cell r="KT611" t="str">
            <v>x</v>
          </cell>
          <cell r="KU611" t="str">
            <v>x</v>
          </cell>
        </row>
        <row r="611">
          <cell r="KX611" t="str">
            <v>Y</v>
          </cell>
        </row>
        <row r="611">
          <cell r="KZ611" t="str">
            <v>x</v>
          </cell>
          <cell r="LA611" t="str">
            <v>x</v>
          </cell>
          <cell r="LB611" t="str">
            <v>x</v>
          </cell>
          <cell r="LC611" t="str">
            <v>x</v>
          </cell>
          <cell r="LD611" t="str">
            <v>x</v>
          </cell>
          <cell r="LE611" t="str">
            <v>x</v>
          </cell>
          <cell r="LF611" t="str">
            <v>x</v>
          </cell>
        </row>
        <row r="612">
          <cell r="A612" t="str">
            <v>isf</v>
          </cell>
        </row>
        <row r="612">
          <cell r="C612" t="str">
            <v>CA-141</v>
          </cell>
        </row>
        <row r="612">
          <cell r="E612" t="str">
            <v>107 C. Namie St., Barangay 25 Caloocan City</v>
          </cell>
        </row>
        <row r="612">
          <cell r="Q612" t="str">
            <v>R</v>
          </cell>
        </row>
        <row r="612">
          <cell r="T612" t="str">
            <v>Ocenar, Julie Ann</v>
          </cell>
        </row>
        <row r="612">
          <cell r="AS612">
            <v>1</v>
          </cell>
        </row>
        <row r="612">
          <cell r="BS612" t="str">
            <v>Residential</v>
          </cell>
          <cell r="BT612" t="str">
            <v>Structure Owner</v>
          </cell>
        </row>
        <row r="612">
          <cell r="JR612" t="str">
            <v>Need Displacement</v>
          </cell>
        </row>
        <row r="612">
          <cell r="KI612" t="str">
            <v>Relocation</v>
          </cell>
        </row>
        <row r="612">
          <cell r="KL612" t="str">
            <v>Disiplina Village (Brgy Bignay, Valenzuela City)</v>
          </cell>
        </row>
        <row r="612">
          <cell r="KX612" t="str">
            <v>Y</v>
          </cell>
        </row>
        <row r="613">
          <cell r="A613" t="str">
            <v>isf</v>
          </cell>
        </row>
        <row r="613">
          <cell r="C613" t="str">
            <v>CA-142</v>
          </cell>
        </row>
        <row r="613">
          <cell r="E613" t="str">
            <v>172 Mabini St., Maypajo Caloocan City</v>
          </cell>
        </row>
        <row r="613">
          <cell r="Q613" t="str">
            <v>L</v>
          </cell>
        </row>
        <row r="613">
          <cell r="BS613" t="str">
            <v>Industrial</v>
          </cell>
          <cell r="BT613" t="str">
            <v>Structure Owner</v>
          </cell>
        </row>
        <row r="613">
          <cell r="VV613" t="str">
            <v>isf</v>
          </cell>
        </row>
        <row r="614">
          <cell r="A614" t="str">
            <v>isf</v>
          </cell>
        </row>
        <row r="614">
          <cell r="C614" t="str">
            <v>CA-142.1</v>
          </cell>
        </row>
        <row r="614">
          <cell r="E614" t="str">
            <v>435 C. Namie St., Barangay 25 Caloocan City</v>
          </cell>
        </row>
        <row r="614">
          <cell r="Q614" t="str">
            <v>L</v>
          </cell>
        </row>
        <row r="614">
          <cell r="T614" t="str">
            <v>Lerio, Restie</v>
          </cell>
        </row>
        <row r="614">
          <cell r="AS614">
            <v>0.710526315789474</v>
          </cell>
        </row>
        <row r="614">
          <cell r="BS614" t="str">
            <v>Residential</v>
          </cell>
          <cell r="BT614" t="str">
            <v>Structure Owner</v>
          </cell>
        </row>
        <row r="614">
          <cell r="JR614" t="str">
            <v>Need Displacement</v>
          </cell>
        </row>
        <row r="614">
          <cell r="KI614" t="str">
            <v>Cash Compensation/ Balik Probinsiya Program</v>
          </cell>
        </row>
        <row r="615">
          <cell r="A615" t="str">
            <v>isf</v>
          </cell>
        </row>
        <row r="615">
          <cell r="C615" t="str">
            <v>CA-142.2</v>
          </cell>
        </row>
        <row r="615">
          <cell r="E615" t="str">
            <v>Barangay 29, Caloocan City</v>
          </cell>
        </row>
        <row r="615">
          <cell r="Q615" t="str">
            <v>L</v>
          </cell>
        </row>
        <row r="615">
          <cell r="T615" t="str">
            <v>Marilou Aguilar</v>
          </cell>
        </row>
        <row r="615">
          <cell r="AS615">
            <v>0.0777929420939754</v>
          </cell>
        </row>
        <row r="615">
          <cell r="BS615" t="str">
            <v>Residential</v>
          </cell>
          <cell r="BT615" t="str">
            <v>Structure Owner</v>
          </cell>
        </row>
        <row r="615">
          <cell r="VV615" t="str">
            <v>isf</v>
          </cell>
        </row>
        <row r="616">
          <cell r="A616" t="str">
            <v>isf</v>
          </cell>
        </row>
        <row r="616">
          <cell r="C616" t="str">
            <v>CA-143</v>
          </cell>
        </row>
        <row r="616">
          <cell r="E616" t="str">
            <v>47 Magtanggol St., Barangay 29 Caloocan City</v>
          </cell>
        </row>
        <row r="616">
          <cell r="Q616" t="str">
            <v>R</v>
          </cell>
        </row>
        <row r="616">
          <cell r="T616" t="str">
            <v>Cayetano, Reynante</v>
          </cell>
        </row>
        <row r="616">
          <cell r="AS616">
            <v>1</v>
          </cell>
        </row>
        <row r="616">
          <cell r="BS616" t="str">
            <v>Residential</v>
          </cell>
          <cell r="BT616" t="str">
            <v>Structure Owner</v>
          </cell>
        </row>
        <row r="616">
          <cell r="VV616" t="str">
            <v>isf</v>
          </cell>
        </row>
        <row r="617">
          <cell r="A617" t="str">
            <v>isf</v>
          </cell>
        </row>
        <row r="617">
          <cell r="C617" t="str">
            <v>CA-144</v>
          </cell>
        </row>
        <row r="617">
          <cell r="E617" t="str">
            <v>39 Magtanggol St., Barangay 29 Zone.3 Caloocan City</v>
          </cell>
        </row>
        <row r="617">
          <cell r="Q617" t="str">
            <v>L</v>
          </cell>
        </row>
        <row r="617">
          <cell r="T617" t="str">
            <v>Vacaro, Serafin</v>
          </cell>
        </row>
        <row r="617">
          <cell r="AS617">
            <v>0.7</v>
          </cell>
        </row>
        <row r="617">
          <cell r="BS617" t="str">
            <v>Residential</v>
          </cell>
          <cell r="BT617" t="str">
            <v>Structure Owner</v>
          </cell>
        </row>
        <row r="617">
          <cell r="KG617">
            <v>4500</v>
          </cell>
        </row>
        <row r="617">
          <cell r="VV617" t="str">
            <v>isf</v>
          </cell>
        </row>
        <row r="618">
          <cell r="A618" t="str">
            <v>isf</v>
          </cell>
        </row>
        <row r="618">
          <cell r="C618" t="str">
            <v>CA-145</v>
          </cell>
        </row>
        <row r="618">
          <cell r="E618" t="str">
            <v>65 Magtanggol St., Barangay 29 Caloocan City</v>
          </cell>
        </row>
        <row r="618">
          <cell r="Q618" t="str">
            <v>R</v>
          </cell>
        </row>
        <row r="618">
          <cell r="T618" t="str">
            <v>David, Matthew</v>
          </cell>
        </row>
        <row r="618">
          <cell r="AS618">
            <v>0.350282485875706</v>
          </cell>
        </row>
        <row r="618">
          <cell r="BS618" t="str">
            <v>Residential</v>
          </cell>
          <cell r="BT618" t="str">
            <v>Structure Owner</v>
          </cell>
        </row>
        <row r="618">
          <cell r="JR618" t="str">
            <v>Need Displacement</v>
          </cell>
        </row>
        <row r="618">
          <cell r="KI618" t="str">
            <v>Cash Compensation/ Balik Probinsiya Program</v>
          </cell>
        </row>
        <row r="618">
          <cell r="KQ618" t="str">
            <v>x</v>
          </cell>
          <cell r="KR618" t="str">
            <v>x</v>
          </cell>
          <cell r="KS618" t="str">
            <v>x</v>
          </cell>
        </row>
        <row r="618">
          <cell r="KX618" t="str">
            <v>Y</v>
          </cell>
        </row>
        <row r="619">
          <cell r="A619" t="str">
            <v>isf</v>
          </cell>
        </row>
        <row r="619">
          <cell r="C619" t="str">
            <v>CA-146</v>
          </cell>
        </row>
        <row r="619">
          <cell r="E619" t="str">
            <v>57 Magtanggol St., Barangay 29 Caloocan City</v>
          </cell>
        </row>
        <row r="619">
          <cell r="Q619" t="str">
            <v>R</v>
          </cell>
        </row>
        <row r="619">
          <cell r="T619" t="str">
            <v>Robles Jr, Salvador</v>
          </cell>
        </row>
        <row r="619">
          <cell r="AS619">
            <v>0.237007874015748</v>
          </cell>
        </row>
        <row r="619">
          <cell r="BS619" t="str">
            <v>Residential</v>
          </cell>
          <cell r="BT619" t="str">
            <v>Structure Owner</v>
          </cell>
        </row>
        <row r="619">
          <cell r="JR619" t="str">
            <v>Need Displacement</v>
          </cell>
        </row>
        <row r="619">
          <cell r="KI619" t="str">
            <v>Cash Compensation/ Balik Probinsiya Program</v>
          </cell>
        </row>
        <row r="620">
          <cell r="A620" t="str">
            <v>isf</v>
          </cell>
        </row>
        <row r="620">
          <cell r="C620" t="str">
            <v>CA-147</v>
          </cell>
        </row>
        <row r="620">
          <cell r="E620" t="str">
            <v>Magtanggol St., Barangay 29, Caloocan City</v>
          </cell>
        </row>
        <row r="620">
          <cell r="Q620" t="str">
            <v>R</v>
          </cell>
        </row>
        <row r="620">
          <cell r="T620" t="str">
            <v>Nadorata, John Ray De Guzman</v>
          </cell>
        </row>
        <row r="620">
          <cell r="AS620">
            <v>0.414094650205761</v>
          </cell>
        </row>
        <row r="620">
          <cell r="BS620" t="str">
            <v>Institutional</v>
          </cell>
          <cell r="BT620" t="str">
            <v>Institutional Occupant</v>
          </cell>
        </row>
        <row r="620">
          <cell r="JR620" t="str">
            <v>Need Displacement</v>
          </cell>
        </row>
        <row r="620">
          <cell r="VV620" t="str">
            <v>isf</v>
          </cell>
        </row>
        <row r="621">
          <cell r="A621" t="str">
            <v>isf</v>
          </cell>
        </row>
        <row r="621">
          <cell r="C621" t="str">
            <v>CA-148</v>
          </cell>
        </row>
        <row r="621">
          <cell r="E621" t="str">
            <v>Magtanggol St., Barangay 29, Caloocan City</v>
          </cell>
        </row>
        <row r="621">
          <cell r="Q621" t="str">
            <v>R</v>
          </cell>
        </row>
        <row r="621">
          <cell r="T621" t="str">
            <v>Nadorata, John Ray De Guzman</v>
          </cell>
        </row>
        <row r="621">
          <cell r="AS621">
            <v>0.614291093955941</v>
          </cell>
        </row>
        <row r="621">
          <cell r="BS621" t="str">
            <v>Institutional</v>
          </cell>
          <cell r="BT621" t="str">
            <v>Structure Owner</v>
          </cell>
        </row>
        <row r="621">
          <cell r="VV621" t="str">
            <v>isf</v>
          </cell>
        </row>
        <row r="622">
          <cell r="A622" t="str">
            <v>isf</v>
          </cell>
        </row>
        <row r="622">
          <cell r="C622" t="str">
            <v>CA-148.1</v>
          </cell>
        </row>
        <row r="622">
          <cell r="E622" t="str">
            <v>227 Magtanggol St., Barangay 29 Caloocan City</v>
          </cell>
        </row>
        <row r="622">
          <cell r="Q622" t="str">
            <v>L</v>
          </cell>
        </row>
        <row r="622">
          <cell r="T622" t="str">
            <v>Sadiaza, Ryan</v>
          </cell>
        </row>
        <row r="622">
          <cell r="AS622">
            <v>0.545454545454546</v>
          </cell>
        </row>
        <row r="622">
          <cell r="BS622" t="str">
            <v>Residential</v>
          </cell>
          <cell r="BT622" t="str">
            <v>Structure Owner</v>
          </cell>
        </row>
        <row r="622">
          <cell r="JR622" t="str">
            <v>Need Displacement</v>
          </cell>
        </row>
        <row r="622">
          <cell r="KI622" t="str">
            <v>No Answer</v>
          </cell>
        </row>
        <row r="623">
          <cell r="A623" t="str">
            <v>isf</v>
          </cell>
        </row>
        <row r="623">
          <cell r="C623" t="str">
            <v>CA-148.2</v>
          </cell>
        </row>
        <row r="623">
          <cell r="E623" t="str">
            <v>174 Magtanggol St., Maypajo, Barangay 29,  Caloocan City</v>
          </cell>
        </row>
        <row r="623">
          <cell r="Q623" t="str">
            <v>L</v>
          </cell>
        </row>
        <row r="623">
          <cell r="T623" t="str">
            <v>Rimorin, Joel</v>
          </cell>
        </row>
        <row r="623">
          <cell r="AS623">
            <v>0.332104121475054</v>
          </cell>
        </row>
        <row r="623">
          <cell r="BS623" t="str">
            <v>Residential</v>
          </cell>
          <cell r="BT623" t="str">
            <v>Structure Owner</v>
          </cell>
        </row>
        <row r="623">
          <cell r="JR623" t="str">
            <v>Need Displacement</v>
          </cell>
        </row>
        <row r="623">
          <cell r="KI623" t="str">
            <v>Cash Compensation/ Balik Probinsiya Program</v>
          </cell>
        </row>
        <row r="624">
          <cell r="A624" t="str">
            <v>isf</v>
          </cell>
        </row>
        <row r="624">
          <cell r="C624" t="str">
            <v>CA-148.3</v>
          </cell>
        </row>
        <row r="624">
          <cell r="E624" t="str">
            <v>173 Magtanggol St., Maypajo, Barangay 29,  Caloocan City</v>
          </cell>
        </row>
        <row r="624">
          <cell r="Q624" t="str">
            <v>L</v>
          </cell>
        </row>
        <row r="624">
          <cell r="AS624">
            <v>0.35</v>
          </cell>
        </row>
        <row r="624">
          <cell r="BS624" t="str">
            <v>Institutional</v>
          </cell>
          <cell r="BT624" t="str">
            <v>Institutional Occupant</v>
          </cell>
        </row>
        <row r="624">
          <cell r="JR624" t="str">
            <v>Need Displacement</v>
          </cell>
        </row>
        <row r="624">
          <cell r="VV624" t="str">
            <v>isf</v>
          </cell>
        </row>
        <row r="625">
          <cell r="A625" t="str">
            <v>isf</v>
          </cell>
        </row>
        <row r="625">
          <cell r="C625" t="str">
            <v>CA-148.4</v>
          </cell>
        </row>
        <row r="625">
          <cell r="E625" t="str">
            <v>173 Magtanggol St., Maypajo, Barangay 29,  Caloocan City</v>
          </cell>
        </row>
        <row r="625">
          <cell r="Q625" t="str">
            <v>L</v>
          </cell>
        </row>
        <row r="625">
          <cell r="T625" t="str">
            <v>Centino Jr, Arcadio</v>
          </cell>
        </row>
        <row r="625">
          <cell r="AS625">
            <v>0.545342886386899</v>
          </cell>
        </row>
        <row r="625">
          <cell r="BS625" t="str">
            <v>Residential</v>
          </cell>
          <cell r="BT625" t="str">
            <v>Structure Owner</v>
          </cell>
        </row>
        <row r="625">
          <cell r="JR625" t="str">
            <v>Need Displacement</v>
          </cell>
        </row>
        <row r="625">
          <cell r="KI625" t="str">
            <v>Relocation</v>
          </cell>
        </row>
        <row r="625">
          <cell r="KL625" t="str">
            <v>Disiplina Village (Brgy Bignay, Valenzuela City)</v>
          </cell>
        </row>
        <row r="625">
          <cell r="KQ625" t="str">
            <v>x</v>
          </cell>
          <cell r="KR625" t="str">
            <v>x</v>
          </cell>
        </row>
        <row r="625">
          <cell r="KX625" t="str">
            <v>Y</v>
          </cell>
        </row>
        <row r="625">
          <cell r="LB625" t="str">
            <v>x</v>
          </cell>
          <cell r="LC625" t="str">
            <v>x</v>
          </cell>
        </row>
        <row r="626">
          <cell r="A626" t="str">
            <v>isf-sh-625</v>
          </cell>
        </row>
        <row r="626">
          <cell r="C626" t="str">
            <v>CA-148.4</v>
          </cell>
        </row>
        <row r="626">
          <cell r="E626" t="str">
            <v>173 Magtanggol St., Maypajo, Barangay 29,  Caloocan City</v>
          </cell>
        </row>
        <row r="626">
          <cell r="Q626" t="str">
            <v>L</v>
          </cell>
        </row>
        <row r="626">
          <cell r="T626" t="str">
            <v>Alinea, Jumer Jose</v>
          </cell>
        </row>
        <row r="626">
          <cell r="AS626">
            <v>0.545342886386899</v>
          </cell>
        </row>
        <row r="626">
          <cell r="BS626" t="str">
            <v>Residential</v>
          </cell>
          <cell r="BT626" t="str">
            <v>Sharer</v>
          </cell>
        </row>
        <row r="626">
          <cell r="JR626" t="str">
            <v>Need Displacement</v>
          </cell>
        </row>
        <row r="626">
          <cell r="KI626" t="str">
            <v>Relocation</v>
          </cell>
        </row>
        <row r="626">
          <cell r="KL626" t="str">
            <v>Disiplina Village (Brgy Bignay, Valenzuela City)</v>
          </cell>
        </row>
        <row r="626">
          <cell r="KQ626" t="str">
            <v>x</v>
          </cell>
          <cell r="KR626" t="str">
            <v>x</v>
          </cell>
          <cell r="KS626" t="str">
            <v>x</v>
          </cell>
          <cell r="KT626" t="str">
            <v>x</v>
          </cell>
          <cell r="KU626" t="str">
            <v>x</v>
          </cell>
        </row>
        <row r="626">
          <cell r="KX626" t="str">
            <v>Y</v>
          </cell>
        </row>
        <row r="626">
          <cell r="KZ626" t="str">
            <v>x</v>
          </cell>
          <cell r="LA626" t="str">
            <v>x</v>
          </cell>
          <cell r="LB626" t="str">
            <v>x</v>
          </cell>
          <cell r="LC626" t="str">
            <v>x</v>
          </cell>
          <cell r="LD626" t="str">
            <v>x</v>
          </cell>
        </row>
        <row r="627">
          <cell r="A627" t="str">
            <v>isf</v>
          </cell>
        </row>
        <row r="627">
          <cell r="C627" t="str">
            <v>CA-148.5</v>
          </cell>
        </row>
        <row r="627">
          <cell r="E627" t="str">
            <v>173 Magtanggol St., Maypajo, Barangay 29,  Caloocan City</v>
          </cell>
        </row>
        <row r="627">
          <cell r="Q627" t="str">
            <v>L</v>
          </cell>
        </row>
        <row r="627">
          <cell r="T627" t="str">
            <v>Andaya, Famore</v>
          </cell>
        </row>
        <row r="627">
          <cell r="AS627">
            <v>0.332104121475054</v>
          </cell>
        </row>
        <row r="627">
          <cell r="BS627" t="str">
            <v>Residential</v>
          </cell>
          <cell r="BT627" t="str">
            <v>Structure Owner</v>
          </cell>
        </row>
        <row r="627">
          <cell r="JP627">
            <v>3500</v>
          </cell>
        </row>
        <row r="627">
          <cell r="JR627" t="str">
            <v>Need Displacement</v>
          </cell>
        </row>
        <row r="627">
          <cell r="KI627" t="str">
            <v>Relocation</v>
          </cell>
          <cell r="KJ627" t="str">
            <v>Cavite</v>
          </cell>
        </row>
        <row r="627">
          <cell r="KL627" t="str">
            <v>Cavite</v>
          </cell>
        </row>
        <row r="628">
          <cell r="A628" t="str">
            <v>isf-abs</v>
          </cell>
        </row>
        <row r="628">
          <cell r="C628" t="str">
            <v>CA-148.6</v>
          </cell>
        </row>
        <row r="628">
          <cell r="E628" t="str">
            <v>148 A. Mabini St., Barangay 29 Caloocan City</v>
          </cell>
        </row>
        <row r="628">
          <cell r="Q628" t="str">
            <v>L</v>
          </cell>
        </row>
        <row r="628">
          <cell r="T628" t="str">
            <v>Celestino, Nyraida Lascano (No SES Details)</v>
          </cell>
        </row>
        <row r="628">
          <cell r="AS628">
            <v>0.0707832601657711</v>
          </cell>
        </row>
        <row r="628">
          <cell r="BS628" t="str">
            <v>Residential</v>
          </cell>
          <cell r="BT628" t="str">
            <v>Structure Owner</v>
          </cell>
        </row>
        <row r="628">
          <cell r="JR628" t="str">
            <v>Can Stay</v>
          </cell>
        </row>
        <row r="629">
          <cell r="A629" t="str">
            <v>isf</v>
          </cell>
        </row>
        <row r="629">
          <cell r="C629" t="str">
            <v>CA-148.7</v>
          </cell>
        </row>
        <row r="629">
          <cell r="E629" t="str">
            <v>204 Magtanggol St., Maypajo, Barangay 29,  Caloocan City</v>
          </cell>
        </row>
        <row r="629">
          <cell r="Q629" t="str">
            <v>L</v>
          </cell>
        </row>
        <row r="629">
          <cell r="T629" t="str">
            <v>Arellano, Francisco</v>
          </cell>
        </row>
        <row r="629">
          <cell r="AS629">
            <v>0.147827346465817</v>
          </cell>
        </row>
        <row r="629">
          <cell r="BS629" t="str">
            <v>Residential</v>
          </cell>
          <cell r="BT629" t="str">
            <v>Structure Owner</v>
          </cell>
        </row>
        <row r="629">
          <cell r="JR629" t="str">
            <v>Can Stay (ACCESS BLOCK)</v>
          </cell>
        </row>
        <row r="630">
          <cell r="A630" t="str">
            <v>isf</v>
          </cell>
        </row>
        <row r="630">
          <cell r="C630" t="str">
            <v>CA-149</v>
          </cell>
        </row>
        <row r="630">
          <cell r="E630" t="str">
            <v>203 Magtanggol St., Maypajo, Barangay 29,  Caloocan City</v>
          </cell>
        </row>
        <row r="630">
          <cell r="Q630" t="str">
            <v>L</v>
          </cell>
        </row>
        <row r="630">
          <cell r="T630" t="str">
            <v>Cabangon, Jose Danilo</v>
          </cell>
        </row>
        <row r="630">
          <cell r="AS630">
            <v>0.0791208791208791</v>
          </cell>
        </row>
        <row r="630">
          <cell r="BS630" t="str">
            <v>Residential</v>
          </cell>
          <cell r="BT630" t="str">
            <v>Structure Owner</v>
          </cell>
        </row>
        <row r="630">
          <cell r="JR630" t="str">
            <v>Can Stay (ACCESS BLOCK)</v>
          </cell>
        </row>
        <row r="631">
          <cell r="A631" t="str">
            <v>isf-sh-630</v>
          </cell>
        </row>
        <row r="631">
          <cell r="C631" t="str">
            <v>CA-149</v>
          </cell>
        </row>
        <row r="631">
          <cell r="E631" t="str">
            <v>203 Magtanggol St., Maypajo, Barangay 29,  Caloocan City</v>
          </cell>
        </row>
        <row r="631">
          <cell r="Q631" t="str">
            <v>L</v>
          </cell>
        </row>
        <row r="631">
          <cell r="T631" t="str">
            <v>Regachuelo, Joseph</v>
          </cell>
        </row>
        <row r="631">
          <cell r="AS631">
            <v>0.0791208791208791</v>
          </cell>
        </row>
        <row r="631">
          <cell r="BS631" t="str">
            <v>Residential</v>
          </cell>
          <cell r="BT631" t="str">
            <v>Sharer</v>
          </cell>
        </row>
        <row r="631">
          <cell r="JR631" t="str">
            <v>Can Stay</v>
          </cell>
        </row>
        <row r="632">
          <cell r="A632" t="str">
            <v>isf</v>
          </cell>
        </row>
        <row r="632">
          <cell r="C632" t="str">
            <v>CA-150</v>
          </cell>
        </row>
        <row r="632">
          <cell r="E632" t="str">
            <v>202 Magtanggol St., Maypajo, Barangay 29,  Caloocan City</v>
          </cell>
        </row>
        <row r="632">
          <cell r="Q632" t="str">
            <v>L</v>
          </cell>
        </row>
        <row r="632">
          <cell r="T632" t="str">
            <v>Rimorin, Carlos</v>
          </cell>
        </row>
        <row r="632">
          <cell r="AS632">
            <v>0.0694444444444444</v>
          </cell>
        </row>
        <row r="632">
          <cell r="BS632" t="str">
            <v>Residential</v>
          </cell>
          <cell r="BT632" t="str">
            <v>Structure Owner</v>
          </cell>
        </row>
        <row r="632">
          <cell r="JR632" t="str">
            <v>Can Stay</v>
          </cell>
        </row>
        <row r="632">
          <cell r="KI632" t="str">
            <v>Relocation</v>
          </cell>
        </row>
        <row r="632">
          <cell r="KL632" t="str">
            <v>Pandi Residence</v>
          </cell>
        </row>
        <row r="632">
          <cell r="KQ632" t="str">
            <v>x</v>
          </cell>
          <cell r="KR632" t="str">
            <v>x</v>
          </cell>
          <cell r="KS632" t="str">
            <v>x</v>
          </cell>
          <cell r="KT632" t="str">
            <v>x</v>
          </cell>
          <cell r="KU632" t="str">
            <v>x</v>
          </cell>
        </row>
        <row r="632">
          <cell r="KX632" t="str">
            <v>Y</v>
          </cell>
        </row>
        <row r="632">
          <cell r="KZ632" t="str">
            <v>x</v>
          </cell>
          <cell r="LA632" t="str">
            <v>x</v>
          </cell>
          <cell r="LB632" t="str">
            <v>x</v>
          </cell>
          <cell r="LC632" t="str">
            <v>x</v>
          </cell>
          <cell r="LD632" t="str">
            <v>x</v>
          </cell>
          <cell r="LE632" t="str">
            <v>x</v>
          </cell>
        </row>
        <row r="633">
          <cell r="A633" t="str">
            <v>isf</v>
          </cell>
        </row>
        <row r="633">
          <cell r="C633" t="str">
            <v>CA-150.1</v>
          </cell>
        </row>
        <row r="633">
          <cell r="E633" t="str">
            <v>Magtanggol St., Maypajo, Barangay 29,  Caloocan City</v>
          </cell>
        </row>
        <row r="633">
          <cell r="Q633" t="str">
            <v>L</v>
          </cell>
        </row>
        <row r="633">
          <cell r="T633" t="str">
            <v>Arellano, Darwin</v>
          </cell>
        </row>
        <row r="633">
          <cell r="AS633">
            <v>0.85</v>
          </cell>
        </row>
        <row r="633">
          <cell r="BS633" t="str">
            <v>Residential</v>
          </cell>
          <cell r="BT633" t="str">
            <v>Structure Owner</v>
          </cell>
        </row>
        <row r="633">
          <cell r="VV633" t="str">
            <v>isf</v>
          </cell>
        </row>
        <row r="634">
          <cell r="A634" t="str">
            <v>isf</v>
          </cell>
        </row>
        <row r="634">
          <cell r="C634" t="str">
            <v>CA-150.2</v>
          </cell>
        </row>
        <row r="634">
          <cell r="E634" t="str">
            <v>Magtanggol St., Maypajo, Barangay 29,  Caloocan City</v>
          </cell>
        </row>
        <row r="634">
          <cell r="Q634" t="str">
            <v>L</v>
          </cell>
        </row>
        <row r="634">
          <cell r="T634" t="str">
            <v>Purqued, Henry</v>
          </cell>
        </row>
        <row r="634">
          <cell r="AS634">
            <v>0.91304347826087</v>
          </cell>
        </row>
        <row r="634">
          <cell r="BS634" t="str">
            <v>Residential</v>
          </cell>
          <cell r="BT634" t="str">
            <v>Structure Owner</v>
          </cell>
        </row>
        <row r="634">
          <cell r="VV634" t="str">
            <v>isf</v>
          </cell>
        </row>
        <row r="635">
          <cell r="A635" t="str">
            <v>isf</v>
          </cell>
        </row>
        <row r="635">
          <cell r="C635" t="str">
            <v>CA-150.3</v>
          </cell>
        </row>
        <row r="635">
          <cell r="E635" t="str">
            <v>Magtanggol St., Maypajo, Barangay 29,  Caloocan City</v>
          </cell>
        </row>
        <row r="635">
          <cell r="Q635" t="str">
            <v>L</v>
          </cell>
        </row>
        <row r="635">
          <cell r="T635" t="str">
            <v>Magdahong, Ernesto</v>
          </cell>
        </row>
        <row r="635">
          <cell r="AS635">
            <v>0.5</v>
          </cell>
        </row>
        <row r="635">
          <cell r="BS635" t="str">
            <v>Residential</v>
          </cell>
          <cell r="BT635" t="str">
            <v>Structure Owner</v>
          </cell>
        </row>
        <row r="635">
          <cell r="VV635" t="str">
            <v>isf</v>
          </cell>
        </row>
        <row r="636">
          <cell r="A636" t="str">
            <v>isf</v>
          </cell>
        </row>
        <row r="636">
          <cell r="C636" t="str">
            <v>CA-151</v>
          </cell>
        </row>
        <row r="636">
          <cell r="E636" t="str">
            <v>319 L. Lupa, Maypajo, Barangay 32, Caloocan City</v>
          </cell>
        </row>
        <row r="636">
          <cell r="Q636" t="str">
            <v>L</v>
          </cell>
        </row>
        <row r="636">
          <cell r="T636" t="str">
            <v>Concepcion Jr, Almario</v>
          </cell>
        </row>
        <row r="636">
          <cell r="AS636">
            <v>0.722689075630252</v>
          </cell>
        </row>
        <row r="636">
          <cell r="BS636" t="str">
            <v>Residential</v>
          </cell>
          <cell r="BT636" t="str">
            <v>Structure Owner</v>
          </cell>
        </row>
        <row r="636">
          <cell r="VV636" t="str">
            <v>isf</v>
          </cell>
        </row>
        <row r="637">
          <cell r="A637" t="str">
            <v>isf</v>
          </cell>
        </row>
        <row r="637">
          <cell r="C637" t="str">
            <v>CA-151.1</v>
          </cell>
        </row>
        <row r="637">
          <cell r="E637" t="str">
            <v>309 L. Lupa, Maypajo, Barangay 32, Caloocan City</v>
          </cell>
        </row>
        <row r="637">
          <cell r="Q637" t="str">
            <v>L</v>
          </cell>
        </row>
        <row r="637">
          <cell r="T637" t="str">
            <v>Sarte, Precellano</v>
          </cell>
        </row>
        <row r="637">
          <cell r="AS637">
            <v>0.52</v>
          </cell>
        </row>
        <row r="637">
          <cell r="BS637" t="str">
            <v>Residential</v>
          </cell>
          <cell r="BT637" t="str">
            <v>Structure Owner</v>
          </cell>
        </row>
        <row r="637">
          <cell r="VV637" t="str">
            <v>isf</v>
          </cell>
        </row>
        <row r="638">
          <cell r="A638" t="str">
            <v>isf</v>
          </cell>
        </row>
        <row r="638">
          <cell r="C638" t="str">
            <v>CA-151.2</v>
          </cell>
        </row>
        <row r="638">
          <cell r="E638" t="str">
            <v>313 L. Lupa, Maypajo, Barangay 32, Caloocan City</v>
          </cell>
        </row>
        <row r="638">
          <cell r="Q638" t="str">
            <v>L</v>
          </cell>
        </row>
        <row r="638">
          <cell r="T638" t="str">
            <v>Cervantes, Cecilia</v>
          </cell>
        </row>
        <row r="638">
          <cell r="AS638">
            <v>1</v>
          </cell>
        </row>
        <row r="638">
          <cell r="BS638" t="str">
            <v>Residential</v>
          </cell>
          <cell r="BT638" t="str">
            <v>Structure Owner</v>
          </cell>
        </row>
        <row r="638">
          <cell r="VV638" t="str">
            <v>isf</v>
          </cell>
        </row>
        <row r="639">
          <cell r="A639" t="str">
            <v>isf</v>
          </cell>
        </row>
        <row r="639">
          <cell r="C639" t="str">
            <v>CA-152</v>
          </cell>
        </row>
        <row r="639">
          <cell r="E639" t="str">
            <v>313 L. Lupa, Maypajo, Barangay 32, Caloocan City</v>
          </cell>
        </row>
        <row r="639">
          <cell r="Q639" t="str">
            <v>L</v>
          </cell>
        </row>
        <row r="639">
          <cell r="T639" t="str">
            <v>Cervantes, Cecilia</v>
          </cell>
        </row>
        <row r="639">
          <cell r="AS639">
            <v>0.3</v>
          </cell>
        </row>
        <row r="639">
          <cell r="BS639" t="str">
            <v>Residential</v>
          </cell>
          <cell r="BT639" t="str">
            <v>Structure Owner</v>
          </cell>
        </row>
        <row r="639">
          <cell r="VV639" t="str">
            <v>isf</v>
          </cell>
        </row>
        <row r="640">
          <cell r="A640" t="str">
            <v>isf</v>
          </cell>
        </row>
        <row r="640">
          <cell r="C640" t="str">
            <v>CA-153</v>
          </cell>
        </row>
        <row r="640">
          <cell r="E640" t="str">
            <v>27 L. Lupa, Maypajo, Barangay 32, Caloocan City</v>
          </cell>
        </row>
        <row r="640">
          <cell r="Q640" t="str">
            <v>R</v>
          </cell>
        </row>
        <row r="640">
          <cell r="T640" t="str">
            <v>Delgado, Cesar</v>
          </cell>
        </row>
        <row r="640">
          <cell r="BS640" t="str">
            <v>Residential</v>
          </cell>
          <cell r="BT640" t="str">
            <v>Structure Owner</v>
          </cell>
        </row>
        <row r="640">
          <cell r="VV640" t="str">
            <v>isf</v>
          </cell>
        </row>
        <row r="641">
          <cell r="A641" t="str">
            <v>isf</v>
          </cell>
        </row>
        <row r="641">
          <cell r="C641" t="str">
            <v>CA-154</v>
          </cell>
        </row>
        <row r="641">
          <cell r="E641" t="str">
            <v>30 L. Lupa, Maypajo, Barangay 32, Caloocan City</v>
          </cell>
        </row>
        <row r="641">
          <cell r="Q641" t="str">
            <v>R</v>
          </cell>
        </row>
        <row r="641">
          <cell r="T641" t="str">
            <v>Monilar, Andrew Araneta</v>
          </cell>
        </row>
        <row r="641">
          <cell r="BS641" t="str">
            <v>Residential</v>
          </cell>
          <cell r="BT641" t="str">
            <v>Structure Owner</v>
          </cell>
        </row>
        <row r="641">
          <cell r="VV641" t="str">
            <v>isf</v>
          </cell>
        </row>
        <row r="642">
          <cell r="A642" t="str">
            <v>isf</v>
          </cell>
        </row>
        <row r="642">
          <cell r="C642" t="str">
            <v>CA-155</v>
          </cell>
        </row>
        <row r="642">
          <cell r="E642" t="str">
            <v>1036 Interior A. Mabini St., Maypajo, Barangay 33, Caloocan City</v>
          </cell>
        </row>
        <row r="642">
          <cell r="Q642" t="str">
            <v>R</v>
          </cell>
        </row>
        <row r="642">
          <cell r="T642" t="str">
            <v>Valentine, Pepito Datu</v>
          </cell>
        </row>
        <row r="642">
          <cell r="AS642">
            <v>0.968253968253968</v>
          </cell>
        </row>
        <row r="642">
          <cell r="BS642" t="str">
            <v>Residential</v>
          </cell>
          <cell r="BT642" t="str">
            <v>Structure Owner</v>
          </cell>
        </row>
        <row r="642">
          <cell r="VV642" t="str">
            <v>isf</v>
          </cell>
        </row>
        <row r="643">
          <cell r="A643" t="str">
            <v>isf</v>
          </cell>
        </row>
        <row r="643">
          <cell r="C643" t="str">
            <v>CA-156</v>
          </cell>
        </row>
        <row r="643">
          <cell r="E643" t="str">
            <v>1036 Interior A. Mabini St., Maypajo, Barangay 33, Caloocan City</v>
          </cell>
        </row>
        <row r="643">
          <cell r="Q643" t="str">
            <v>R</v>
          </cell>
        </row>
        <row r="643">
          <cell r="T643" t="str">
            <v>Cangmaong, Sonny</v>
          </cell>
        </row>
        <row r="643">
          <cell r="AS643">
            <v>0.454545454545455</v>
          </cell>
        </row>
        <row r="643">
          <cell r="BS643" t="str">
            <v>Residential</v>
          </cell>
          <cell r="BT643" t="str">
            <v>Structure Owner</v>
          </cell>
        </row>
        <row r="643">
          <cell r="JR643" t="str">
            <v>Need Displacement</v>
          </cell>
        </row>
        <row r="643">
          <cell r="KI643" t="str">
            <v>Relocation</v>
          </cell>
          <cell r="KJ643" t="str">
            <v>Cavite</v>
          </cell>
        </row>
        <row r="643">
          <cell r="KL643" t="str">
            <v>Cavite</v>
          </cell>
        </row>
        <row r="643">
          <cell r="KX643" t="str">
            <v>Y</v>
          </cell>
        </row>
        <row r="643">
          <cell r="KZ643" t="str">
            <v>x</v>
          </cell>
        </row>
        <row r="643">
          <cell r="LB643" t="str">
            <v>x</v>
          </cell>
          <cell r="LC643" t="str">
            <v>x</v>
          </cell>
          <cell r="LD643" t="str">
            <v>x</v>
          </cell>
          <cell r="LE643" t="str">
            <v>x</v>
          </cell>
          <cell r="LF643" t="str">
            <v>x</v>
          </cell>
        </row>
        <row r="644">
          <cell r="A644" t="str">
            <v>isf</v>
          </cell>
        </row>
        <row r="644">
          <cell r="C644" t="str">
            <v>CA-157</v>
          </cell>
        </row>
        <row r="644">
          <cell r="E644" t="str">
            <v>1036 Interior A. Mabini St., Maypajo, Barangay 33, Caloocan City</v>
          </cell>
        </row>
        <row r="644">
          <cell r="Q644" t="str">
            <v>R</v>
          </cell>
        </row>
        <row r="644">
          <cell r="T644" t="str">
            <v>Lopez Jr, Ricardo</v>
          </cell>
        </row>
        <row r="644">
          <cell r="AS644">
            <v>1</v>
          </cell>
        </row>
        <row r="644">
          <cell r="BS644" t="str">
            <v>Residential</v>
          </cell>
          <cell r="BT644" t="str">
            <v>Structure Owner</v>
          </cell>
        </row>
        <row r="644">
          <cell r="JR644" t="str">
            <v>Need Displacement</v>
          </cell>
        </row>
        <row r="644">
          <cell r="KI644" t="str">
            <v>Relocation</v>
          </cell>
          <cell r="KJ644" t="str">
            <v>Cavite</v>
          </cell>
        </row>
        <row r="644">
          <cell r="KL644" t="str">
            <v>Cavite</v>
          </cell>
        </row>
        <row r="644">
          <cell r="KR644" t="str">
            <v>x</v>
          </cell>
        </row>
        <row r="644">
          <cell r="KX644" t="str">
            <v>Y</v>
          </cell>
        </row>
        <row r="644">
          <cell r="KZ644" t="str">
            <v>x</v>
          </cell>
        </row>
        <row r="644">
          <cell r="LB644" t="str">
            <v>x</v>
          </cell>
          <cell r="LC644" t="str">
            <v>x</v>
          </cell>
          <cell r="LD644" t="str">
            <v>x</v>
          </cell>
          <cell r="LE644" t="str">
            <v>x</v>
          </cell>
          <cell r="LF644" t="str">
            <v>x</v>
          </cell>
        </row>
        <row r="645">
          <cell r="A645" t="str">
            <v>isf</v>
          </cell>
        </row>
        <row r="645">
          <cell r="C645" t="str">
            <v>CA-158</v>
          </cell>
        </row>
        <row r="645">
          <cell r="E645" t="str">
            <v>1036 Interior A. Mabini St., Maypajo, Barangay 33, Caloocan City</v>
          </cell>
        </row>
        <row r="645">
          <cell r="Q645" t="str">
            <v>R</v>
          </cell>
        </row>
        <row r="645">
          <cell r="T645" t="str">
            <v>Mesina Jr, Roy Bernardo</v>
          </cell>
        </row>
        <row r="645">
          <cell r="AS645">
            <v>0.727272727272727</v>
          </cell>
        </row>
        <row r="645">
          <cell r="BS645" t="str">
            <v>Residential</v>
          </cell>
          <cell r="BT645" t="str">
            <v>Structure Owner</v>
          </cell>
        </row>
        <row r="645">
          <cell r="VV645" t="str">
            <v>isf</v>
          </cell>
        </row>
        <row r="646">
          <cell r="A646" t="str">
            <v>isf</v>
          </cell>
        </row>
        <row r="646">
          <cell r="C646" t="str">
            <v>CA-159</v>
          </cell>
        </row>
        <row r="646">
          <cell r="E646" t="str">
            <v>1036 Interior A. Mabini St., Maypajo, Barangay 33, Caloocan City</v>
          </cell>
        </row>
        <row r="646">
          <cell r="Q646" t="str">
            <v>R</v>
          </cell>
        </row>
        <row r="646">
          <cell r="T646" t="str">
            <v>Lomocso, Edalgo Bandolon</v>
          </cell>
        </row>
        <row r="646">
          <cell r="AS646">
            <v>0.727272727272727</v>
          </cell>
        </row>
        <row r="646">
          <cell r="BS646" t="str">
            <v>Residential</v>
          </cell>
          <cell r="BT646" t="str">
            <v>Structure Owner</v>
          </cell>
        </row>
        <row r="646">
          <cell r="VV646" t="str">
            <v>isf</v>
          </cell>
        </row>
        <row r="647">
          <cell r="A647" t="str">
            <v>isf</v>
          </cell>
        </row>
        <row r="647">
          <cell r="C647" t="str">
            <v>CA-160</v>
          </cell>
        </row>
        <row r="647">
          <cell r="E647" t="str">
            <v>1036 Interior A. Mabini St., Maypajo, Barangay 33, Caloocan City</v>
          </cell>
        </row>
        <row r="647">
          <cell r="Q647" t="str">
            <v>R</v>
          </cell>
        </row>
        <row r="647">
          <cell r="T647" t="str">
            <v>Lopez , Arnold</v>
          </cell>
        </row>
        <row r="647">
          <cell r="AS647">
            <v>0.607142857142857</v>
          </cell>
        </row>
        <row r="647">
          <cell r="BS647" t="str">
            <v>Residential</v>
          </cell>
          <cell r="BT647" t="str">
            <v>Structure Owner</v>
          </cell>
        </row>
        <row r="647">
          <cell r="VV647" t="str">
            <v>isf</v>
          </cell>
        </row>
        <row r="648">
          <cell r="A648" t="str">
            <v>isf</v>
          </cell>
        </row>
        <row r="648">
          <cell r="C648" t="str">
            <v>CA-161</v>
          </cell>
        </row>
        <row r="648">
          <cell r="E648" t="str">
            <v>172, Dona Casimiro St., Maypajo, Barangay 33, Caloocan City</v>
          </cell>
        </row>
        <row r="648">
          <cell r="Q648" t="str">
            <v>R</v>
          </cell>
        </row>
        <row r="648">
          <cell r="T648" t="str">
            <v>Sollano, Reynalyn</v>
          </cell>
        </row>
        <row r="648">
          <cell r="AS648">
            <v>0.147058823529412</v>
          </cell>
        </row>
        <row r="648">
          <cell r="BS648" t="str">
            <v>Residential</v>
          </cell>
          <cell r="BT648" t="str">
            <v>Structure Owner</v>
          </cell>
        </row>
        <row r="648">
          <cell r="JR648" t="str">
            <v>Can Stay (ACCESS BLOCK)</v>
          </cell>
        </row>
        <row r="649">
          <cell r="A649" t="str">
            <v>isf</v>
          </cell>
        </row>
        <row r="649">
          <cell r="C649" t="str">
            <v>CA-162A</v>
          </cell>
        </row>
        <row r="649">
          <cell r="E649" t="str">
            <v>161, Dona Casimiro St., Maypajo, Barangay 33, Caloocan City</v>
          </cell>
        </row>
        <row r="649">
          <cell r="Q649" t="str">
            <v>R</v>
          </cell>
        </row>
        <row r="649">
          <cell r="T649" t="str">
            <v>Pacardo Jr, Juanito</v>
          </cell>
        </row>
        <row r="649">
          <cell r="AS649">
            <v>0.372093023255814</v>
          </cell>
        </row>
        <row r="649">
          <cell r="BS649" t="str">
            <v>Residential</v>
          </cell>
          <cell r="BT649" t="str">
            <v>Structure Owner</v>
          </cell>
        </row>
        <row r="649">
          <cell r="JR649" t="str">
            <v>Can Stay (ACCESS BLOCK)</v>
          </cell>
        </row>
        <row r="649">
          <cell r="KI649" t="str">
            <v>Relocation</v>
          </cell>
          <cell r="KJ649" t="str">
            <v>Bulacan</v>
          </cell>
        </row>
        <row r="649">
          <cell r="KL649" t="str">
            <v>Pandi Residences (Brgy. Mapulang Lupa, Pandi, Bulacan)</v>
          </cell>
        </row>
        <row r="649">
          <cell r="KQ649" t="str">
            <v>x</v>
          </cell>
        </row>
        <row r="649">
          <cell r="KX649" t="str">
            <v>Y</v>
          </cell>
        </row>
        <row r="649">
          <cell r="KZ649" t="str">
            <v>x</v>
          </cell>
        </row>
        <row r="649">
          <cell r="LB649" t="str">
            <v>x</v>
          </cell>
          <cell r="LC649" t="str">
            <v>x</v>
          </cell>
          <cell r="LD649" t="str">
            <v>x</v>
          </cell>
          <cell r="LE649" t="str">
            <v>x</v>
          </cell>
          <cell r="LF649" t="str">
            <v>x</v>
          </cell>
        </row>
        <row r="650">
          <cell r="A650" t="str">
            <v>isf-sh-649</v>
          </cell>
        </row>
        <row r="650">
          <cell r="C650" t="str">
            <v>CA-162B</v>
          </cell>
        </row>
        <row r="650">
          <cell r="E650" t="str">
            <v>161, Dona Casimiro St., Maypajo, Barangay 33, Caloocan City</v>
          </cell>
        </row>
        <row r="650">
          <cell r="T650" t="str">
            <v>Paguirigan, Jalain</v>
          </cell>
        </row>
        <row r="650">
          <cell r="BS650" t="str">
            <v>Residential</v>
          </cell>
          <cell r="BT650" t="str">
            <v>Sharer</v>
          </cell>
        </row>
        <row r="650">
          <cell r="JR650" t="str">
            <v>Need Displacement</v>
          </cell>
        </row>
        <row r="650">
          <cell r="KI650" t="str">
            <v>Relocation</v>
          </cell>
          <cell r="KJ650" t="str">
            <v>Bulacan</v>
          </cell>
        </row>
        <row r="650">
          <cell r="KL650" t="str">
            <v>Pandi Residences (Brgy. Mapulang Lupa, Pandi, Bulacan)</v>
          </cell>
        </row>
        <row r="650">
          <cell r="KQ650" t="str">
            <v>x</v>
          </cell>
        </row>
        <row r="650">
          <cell r="KX650" t="str">
            <v>Y</v>
          </cell>
        </row>
        <row r="650">
          <cell r="LE650" t="str">
            <v>x</v>
          </cell>
          <cell r="LF650" t="str">
            <v>x</v>
          </cell>
        </row>
        <row r="651">
          <cell r="A651" t="str">
            <v>isf-sh-649</v>
          </cell>
        </row>
        <row r="651">
          <cell r="C651" t="str">
            <v>CA-162C</v>
          </cell>
        </row>
        <row r="651">
          <cell r="E651" t="str">
            <v>161, Dona Casimiro St., Maypajo, Barangay 33, Caloocan City</v>
          </cell>
        </row>
        <row r="651">
          <cell r="T651" t="str">
            <v>Sylvestre, Diane</v>
          </cell>
        </row>
        <row r="651">
          <cell r="BS651" t="str">
            <v>Residential</v>
          </cell>
          <cell r="BT651" t="str">
            <v>Sharer</v>
          </cell>
        </row>
        <row r="651">
          <cell r="JR651" t="str">
            <v>Need Displacement</v>
          </cell>
        </row>
        <row r="651">
          <cell r="KI651" t="str">
            <v>Relocation</v>
          </cell>
          <cell r="KJ651" t="str">
            <v>Bulacan</v>
          </cell>
        </row>
        <row r="651">
          <cell r="KL651" t="str">
            <v>Pandi Residences (Brgy. Mapulang Lupa, Pandi, Bulacan)</v>
          </cell>
        </row>
        <row r="651">
          <cell r="KR651" t="str">
            <v>x</v>
          </cell>
          <cell r="KS651" t="str">
            <v>x</v>
          </cell>
        </row>
        <row r="651">
          <cell r="KX651" t="str">
            <v>Y</v>
          </cell>
        </row>
        <row r="651">
          <cell r="KZ651" t="str">
            <v>x</v>
          </cell>
          <cell r="LA651" t="str">
            <v>x</v>
          </cell>
        </row>
        <row r="651">
          <cell r="LF651" t="str">
            <v>x</v>
          </cell>
        </row>
        <row r="652">
          <cell r="A652" t="str">
            <v>legal</v>
          </cell>
        </row>
        <row r="652">
          <cell r="C652" t="str">
            <v>CA-163</v>
          </cell>
        </row>
        <row r="652">
          <cell r="E652" t="str">
            <v>Barangay 33, Caloocan City</v>
          </cell>
        </row>
        <row r="652">
          <cell r="Q652" t="str">
            <v>R</v>
          </cell>
        </row>
        <row r="652">
          <cell r="T652" t="str">
            <v>Reoncio Alba Maravilla</v>
          </cell>
        </row>
        <row r="652">
          <cell r="AS652">
            <v>0.25</v>
          </cell>
        </row>
        <row r="652">
          <cell r="BS652" t="str">
            <v>Residential</v>
          </cell>
          <cell r="BT652" t="str">
            <v>Structure Owner</v>
          </cell>
        </row>
        <row r="652">
          <cell r="JR652" t="str">
            <v>Can Stay</v>
          </cell>
        </row>
        <row r="652">
          <cell r="VV652" t="str">
            <v>legal</v>
          </cell>
        </row>
        <row r="653">
          <cell r="A653" t="str">
            <v>legal-r 652</v>
          </cell>
        </row>
        <row r="653">
          <cell r="C653" t="str">
            <v>CA-163</v>
          </cell>
        </row>
        <row r="653">
          <cell r="E653" t="str">
            <v>Barangay 33, Caloocan City</v>
          </cell>
        </row>
        <row r="653">
          <cell r="T653" t="str">
            <v>c/o Reoncio Alba Maravilla</v>
          </cell>
        </row>
        <row r="653">
          <cell r="BS653" t="str">
            <v>Residential</v>
          </cell>
          <cell r="BT653" t="str">
            <v>Structure Renter</v>
          </cell>
        </row>
        <row r="653">
          <cell r="VV653" t="str">
            <v>legal-r 652</v>
          </cell>
        </row>
        <row r="654">
          <cell r="A654" t="str">
            <v>isf</v>
          </cell>
        </row>
        <row r="654">
          <cell r="C654" t="str">
            <v>CA-164</v>
          </cell>
        </row>
        <row r="654">
          <cell r="E654" t="str">
            <v>Barangay 33, Caloocan City</v>
          </cell>
        </row>
        <row r="654">
          <cell r="Q654" t="str">
            <v>R</v>
          </cell>
        </row>
        <row r="654">
          <cell r="T654" t="str">
            <v>Adrian Kelly</v>
          </cell>
        </row>
        <row r="654">
          <cell r="BS654" t="str">
            <v>Residential</v>
          </cell>
          <cell r="BT654" t="str">
            <v>Structure Owner</v>
          </cell>
        </row>
        <row r="654">
          <cell r="JR654" t="str">
            <v>Need Displacement</v>
          </cell>
        </row>
        <row r="654">
          <cell r="VV654" t="str">
            <v>isf</v>
          </cell>
        </row>
        <row r="655">
          <cell r="A655" t="str">
            <v>isf</v>
          </cell>
        </row>
        <row r="655">
          <cell r="C655" t="str">
            <v>CA-165</v>
          </cell>
        </row>
        <row r="655">
          <cell r="E655" t="str">
            <v>88-B Guido 2, Barangay 33, Caloocan City</v>
          </cell>
        </row>
        <row r="655">
          <cell r="Q655" t="str">
            <v>R</v>
          </cell>
        </row>
        <row r="655">
          <cell r="T655" t="str">
            <v>Manese, Dante</v>
          </cell>
        </row>
        <row r="655">
          <cell r="AS655">
            <v>1</v>
          </cell>
        </row>
        <row r="655">
          <cell r="BS655" t="str">
            <v>Residential</v>
          </cell>
          <cell r="BT655" t="str">
            <v>Structure Owner</v>
          </cell>
        </row>
        <row r="655">
          <cell r="JR655" t="str">
            <v>Need Displacement</v>
          </cell>
        </row>
        <row r="655">
          <cell r="KI655" t="str">
            <v>Relocation</v>
          </cell>
          <cell r="KJ655" t="str">
            <v>Bulacan</v>
          </cell>
        </row>
        <row r="655">
          <cell r="KL655" t="str">
            <v>Northville 5, Brgy Batia, Bocaue Bulacan</v>
          </cell>
        </row>
        <row r="655">
          <cell r="KQ655" t="str">
            <v>x</v>
          </cell>
          <cell r="KR655" t="str">
            <v>x</v>
          </cell>
          <cell r="KS655" t="str">
            <v>x</v>
          </cell>
          <cell r="KT655" t="str">
            <v>x</v>
          </cell>
        </row>
        <row r="655">
          <cell r="KX655" t="str">
            <v>Y</v>
          </cell>
        </row>
        <row r="655">
          <cell r="KZ655" t="str">
            <v>x</v>
          </cell>
          <cell r="LA655" t="str">
            <v>x</v>
          </cell>
          <cell r="LB655" t="str">
            <v>x</v>
          </cell>
          <cell r="LC655" t="str">
            <v>x</v>
          </cell>
        </row>
        <row r="655">
          <cell r="LE655" t="str">
            <v>x</v>
          </cell>
          <cell r="LF655" t="str">
            <v>x</v>
          </cell>
        </row>
        <row r="656">
          <cell r="A656" t="str">
            <v>legal</v>
          </cell>
        </row>
        <row r="656">
          <cell r="C656" t="str">
            <v>CA-166</v>
          </cell>
        </row>
        <row r="656">
          <cell r="E656" t="str">
            <v>122 Guido 2, Barangay 33 Zone 3, Caloocan City</v>
          </cell>
        </row>
        <row r="656">
          <cell r="Q656" t="str">
            <v>R</v>
          </cell>
        </row>
        <row r="656">
          <cell r="T656" t="str">
            <v>Dimla, Ernesto</v>
          </cell>
        </row>
        <row r="656">
          <cell r="AS656">
            <v>0.0775862068965517</v>
          </cell>
        </row>
        <row r="656">
          <cell r="BS656" t="str">
            <v>Residential</v>
          </cell>
          <cell r="BT656" t="str">
            <v>Structure Owner</v>
          </cell>
        </row>
        <row r="656">
          <cell r="JR656" t="str">
            <v>Can Stay</v>
          </cell>
        </row>
        <row r="656">
          <cell r="VV656" t="str">
            <v>legal</v>
          </cell>
        </row>
        <row r="657">
          <cell r="A657" t="str">
            <v>legal</v>
          </cell>
        </row>
        <row r="657">
          <cell r="C657" t="str">
            <v>CA-167</v>
          </cell>
        </row>
        <row r="657">
          <cell r="E657" t="str">
            <v>88 Guido II, Maypajo St., Barangay 33 Caloocan City</v>
          </cell>
        </row>
        <row r="657">
          <cell r="Q657" t="str">
            <v>R</v>
          </cell>
        </row>
        <row r="657">
          <cell r="T657" t="str">
            <v>Joanquin, Adela</v>
          </cell>
        </row>
        <row r="657">
          <cell r="AS657">
            <v>0.176991150442478</v>
          </cell>
        </row>
        <row r="657">
          <cell r="BS657" t="str">
            <v>Residential</v>
          </cell>
          <cell r="BT657" t="str">
            <v>Structure Owner</v>
          </cell>
        </row>
        <row r="657">
          <cell r="JR657" t="str">
            <v>Can Stay (ACCESS BLOCK)</v>
          </cell>
        </row>
        <row r="657">
          <cell r="VV657" t="str">
            <v>legal</v>
          </cell>
        </row>
        <row r="658">
          <cell r="A658" t="str">
            <v>legal-sh 657</v>
          </cell>
        </row>
        <row r="658">
          <cell r="C658" t="str">
            <v>CA-167</v>
          </cell>
        </row>
        <row r="658">
          <cell r="E658" t="str">
            <v>88 Guido II, Maypajo St., Barangay 33 Caloocan City</v>
          </cell>
        </row>
        <row r="658">
          <cell r="Q658" t="str">
            <v>R</v>
          </cell>
        </row>
        <row r="658">
          <cell r="T658" t="str">
            <v>Joaquin, Carlos</v>
          </cell>
        </row>
        <row r="658">
          <cell r="BS658" t="str">
            <v>Residential</v>
          </cell>
          <cell r="BT658" t="str">
            <v>Sharer</v>
          </cell>
        </row>
        <row r="658">
          <cell r="JR658" t="str">
            <v>Can Stay (Access Block)</v>
          </cell>
        </row>
        <row r="658">
          <cell r="VV658" t="str">
            <v>legal-sh 657</v>
          </cell>
        </row>
        <row r="659">
          <cell r="A659" t="str">
            <v>legal</v>
          </cell>
        </row>
        <row r="659">
          <cell r="C659" t="str">
            <v>CA-168</v>
          </cell>
        </row>
        <row r="659">
          <cell r="E659" t="str">
            <v>88 Guido II, Maypajo St., Barangay 33 Caloocan City</v>
          </cell>
        </row>
        <row r="659">
          <cell r="Q659" t="str">
            <v>R</v>
          </cell>
        </row>
        <row r="659">
          <cell r="T659" t="str">
            <v>Joaquin, Carlos</v>
          </cell>
        </row>
        <row r="659">
          <cell r="AS659">
            <v>0.12</v>
          </cell>
        </row>
        <row r="659">
          <cell r="BS659" t="str">
            <v>Residential</v>
          </cell>
          <cell r="BT659" t="str">
            <v>Structure Owner</v>
          </cell>
        </row>
        <row r="659">
          <cell r="JR659" t="str">
            <v>Can Stay (ACCESS BLOCK)</v>
          </cell>
        </row>
        <row r="659">
          <cell r="VV659" t="str">
            <v>legal</v>
          </cell>
        </row>
        <row r="660">
          <cell r="A660" t="str">
            <v>legal</v>
          </cell>
        </row>
        <row r="660">
          <cell r="C660" t="str">
            <v>MN-001</v>
          </cell>
        </row>
        <row r="660">
          <cell r="E660" t="str">
            <v>133 Guido 1, Barangay 184, Gagalangin Tondo Manila</v>
          </cell>
        </row>
        <row r="660">
          <cell r="Q660" t="str">
            <v>R</v>
          </cell>
        </row>
        <row r="660">
          <cell r="T660" t="str">
            <v>Reniedo, Nenita</v>
          </cell>
        </row>
        <row r="660">
          <cell r="BS660" t="str">
            <v>Residential</v>
          </cell>
          <cell r="BT660" t="str">
            <v>Structure Owner</v>
          </cell>
        </row>
        <row r="660">
          <cell r="JR660" t="str">
            <v>Need Displacement</v>
          </cell>
        </row>
        <row r="660">
          <cell r="VV660" t="str">
            <v>legal</v>
          </cell>
        </row>
        <row r="661">
          <cell r="A661" t="str">
            <v>legal</v>
          </cell>
        </row>
        <row r="661">
          <cell r="C661" t="str">
            <v>MN-002</v>
          </cell>
        </row>
        <row r="661">
          <cell r="E661" t="str">
            <v>133 Guido 1, Barangay 184, Gagalangin Tondo Manila</v>
          </cell>
        </row>
        <row r="661">
          <cell r="Q661" t="str">
            <v>R</v>
          </cell>
        </row>
        <row r="661">
          <cell r="T661" t="str">
            <v>Ganitnit, Francisca</v>
          </cell>
        </row>
        <row r="661">
          <cell r="AS661">
            <v>0.09</v>
          </cell>
        </row>
        <row r="661">
          <cell r="BS661" t="str">
            <v>Residential</v>
          </cell>
          <cell r="BT661" t="str">
            <v>Structure Owner</v>
          </cell>
        </row>
        <row r="661">
          <cell r="JR661" t="str">
            <v>Need Displacement</v>
          </cell>
        </row>
        <row r="661">
          <cell r="VV661" t="str">
            <v>legal</v>
          </cell>
        </row>
        <row r="662">
          <cell r="A662" t="str">
            <v>legal</v>
          </cell>
        </row>
        <row r="662">
          <cell r="C662" t="str">
            <v>MN-002</v>
          </cell>
        </row>
        <row r="662">
          <cell r="E662" t="str">
            <v>133 Guido 1, Barangay 184, Gagalangin Tondo Manila</v>
          </cell>
        </row>
        <row r="662">
          <cell r="Q662" t="str">
            <v>R</v>
          </cell>
        </row>
        <row r="662">
          <cell r="T662" t="str">
            <v>Palmon,Lilia Kakilala</v>
          </cell>
        </row>
        <row r="662">
          <cell r="AS662">
            <v>0.327272727272727</v>
          </cell>
        </row>
        <row r="662">
          <cell r="BS662" t="str">
            <v>Mixed Use</v>
          </cell>
          <cell r="BT662" t="str">
            <v>Structure Owner</v>
          </cell>
        </row>
        <row r="662">
          <cell r="JR662" t="str">
            <v>Need Displacement</v>
          </cell>
        </row>
        <row r="662">
          <cell r="VV662" t="str">
            <v>legal</v>
          </cell>
        </row>
        <row r="663">
          <cell r="A663" t="str">
            <v>legal 662</v>
          </cell>
        </row>
        <row r="663">
          <cell r="C663" t="str">
            <v>MN-003</v>
          </cell>
        </row>
        <row r="663">
          <cell r="E663" t="str">
            <v>764 Guido 1, Juan Luna, Barangay 184 Tondo Manila</v>
          </cell>
        </row>
        <row r="663">
          <cell r="Q663" t="str">
            <v>R</v>
          </cell>
        </row>
        <row r="663">
          <cell r="T663" t="str">
            <v>Palmon, Lilia</v>
          </cell>
        </row>
        <row r="663">
          <cell r="BS663" t="str">
            <v>Mixed Use</v>
          </cell>
          <cell r="BT663" t="str">
            <v>Co-owner</v>
          </cell>
        </row>
        <row r="663">
          <cell r="JR663" t="str">
            <v>Need Displacement</v>
          </cell>
        </row>
        <row r="663">
          <cell r="VV663" t="str">
            <v>legal 662</v>
          </cell>
        </row>
        <row r="664">
          <cell r="A664" t="str">
            <v>legal 662</v>
          </cell>
        </row>
        <row r="664">
          <cell r="C664" t="str">
            <v>MN-003</v>
          </cell>
        </row>
        <row r="664">
          <cell r="E664" t="str">
            <v>764 Guido 1, Juan Luna, Barangay 184 Tondo Manila</v>
          </cell>
        </row>
        <row r="664">
          <cell r="T664" t="str">
            <v>Tolentino, Rodel</v>
          </cell>
        </row>
        <row r="664">
          <cell r="BS664" t="str">
            <v>Mixed Use</v>
          </cell>
          <cell r="BT664" t="str">
            <v>Co-owner</v>
          </cell>
        </row>
        <row r="664">
          <cell r="JR664" t="str">
            <v>Need Displacement</v>
          </cell>
        </row>
        <row r="664">
          <cell r="VV664" t="str">
            <v>legal 662</v>
          </cell>
        </row>
        <row r="665">
          <cell r="A665" t="str">
            <v>legal</v>
          </cell>
        </row>
        <row r="665">
          <cell r="C665" t="str">
            <v>MN-004</v>
          </cell>
        </row>
        <row r="665">
          <cell r="E665" t="str">
            <v>766 Guido 1, Juan Luna, Barangay 184 Tondo Manila</v>
          </cell>
        </row>
        <row r="665">
          <cell r="Q665" t="str">
            <v>R</v>
          </cell>
        </row>
        <row r="665">
          <cell r="T665" t="str">
            <v>Moreno, Vicky</v>
          </cell>
        </row>
        <row r="665">
          <cell r="AS665">
            <v>0.433962264150943</v>
          </cell>
        </row>
        <row r="665">
          <cell r="BS665" t="str">
            <v>Residential</v>
          </cell>
          <cell r="BT665" t="str">
            <v>Structure Owner</v>
          </cell>
        </row>
        <row r="665">
          <cell r="JR665" t="str">
            <v>Need Displacement</v>
          </cell>
        </row>
        <row r="666">
          <cell r="A666" t="str">
            <v>isf</v>
          </cell>
        </row>
        <row r="666">
          <cell r="C666" t="str">
            <v>MN-005</v>
          </cell>
        </row>
        <row r="666">
          <cell r="E666" t="str">
            <v>988 Murong St., Barangay 186, Tondo Manila</v>
          </cell>
        </row>
        <row r="666">
          <cell r="Q666" t="str">
            <v>R</v>
          </cell>
        </row>
        <row r="666">
          <cell r="T666" t="str">
            <v>Boholano, Isidro Jr Villrando</v>
          </cell>
        </row>
        <row r="666">
          <cell r="AS666">
            <v>1</v>
          </cell>
        </row>
        <row r="666">
          <cell r="BS666" t="str">
            <v>Commercial</v>
          </cell>
          <cell r="BT666" t="str">
            <v>Structure Owner</v>
          </cell>
        </row>
        <row r="666">
          <cell r="VV666" t="str">
            <v>isf</v>
          </cell>
        </row>
        <row r="667">
          <cell r="A667" t="str">
            <v>isf</v>
          </cell>
        </row>
        <row r="667">
          <cell r="C667" t="str">
            <v>MN-006</v>
          </cell>
        </row>
        <row r="667">
          <cell r="E667" t="str">
            <v>742 Benito St., Barangay 185 Zone 16 Gagalangin Tondo Manila</v>
          </cell>
        </row>
        <row r="667">
          <cell r="Q667" t="str">
            <v>R</v>
          </cell>
        </row>
        <row r="667">
          <cell r="T667" t="str">
            <v>Balonzo, Romeo</v>
          </cell>
        </row>
        <row r="667">
          <cell r="AS667">
            <v>1</v>
          </cell>
        </row>
        <row r="667">
          <cell r="BS667" t="str">
            <v>Residential</v>
          </cell>
          <cell r="BT667" t="str">
            <v>Structure Owner</v>
          </cell>
        </row>
        <row r="667">
          <cell r="JR667" t="str">
            <v>Need Displacement</v>
          </cell>
        </row>
        <row r="667">
          <cell r="KI667" t="str">
            <v>Relocation</v>
          </cell>
        </row>
        <row r="667">
          <cell r="KL667" t="str">
            <v>Northville 5, Brgy Batia, Bocaue Bulacan</v>
          </cell>
        </row>
        <row r="667">
          <cell r="KQ667" t="str">
            <v>x</v>
          </cell>
        </row>
        <row r="667">
          <cell r="KX667" t="str">
            <v>No</v>
          </cell>
        </row>
        <row r="667">
          <cell r="KZ667" t="str">
            <v>x</v>
          </cell>
          <cell r="LA667" t="str">
            <v>x</v>
          </cell>
          <cell r="LB667" t="str">
            <v>x</v>
          </cell>
          <cell r="LC667" t="str">
            <v>x</v>
          </cell>
          <cell r="LD667" t="str">
            <v>x</v>
          </cell>
          <cell r="LE667" t="str">
            <v>x</v>
          </cell>
          <cell r="LF667" t="str">
            <v>x</v>
          </cell>
        </row>
        <row r="668">
          <cell r="A668" t="str">
            <v>legal</v>
          </cell>
        </row>
        <row r="668">
          <cell r="C668" t="str">
            <v>MN-007</v>
          </cell>
        </row>
        <row r="668">
          <cell r="E668" t="str">
            <v>Barangay 204, Tondo, Manila</v>
          </cell>
        </row>
        <row r="668">
          <cell r="Q668" t="str">
            <v>R</v>
          </cell>
        </row>
        <row r="668">
          <cell r="BS668" t="str">
            <v>Industrial</v>
          </cell>
          <cell r="BT668" t="str">
            <v>Structure Owner</v>
          </cell>
        </row>
        <row r="668">
          <cell r="VV668" t="str">
            <v>legal</v>
          </cell>
        </row>
        <row r="669">
          <cell r="A669" t="str">
            <v>isf</v>
          </cell>
        </row>
        <row r="669">
          <cell r="C669" t="str">
            <v>MN-008</v>
          </cell>
        </row>
        <row r="669">
          <cell r="E669" t="str">
            <v>2686 Dagupan Ext., Barangay 165 Zone 14 Tondo Manila</v>
          </cell>
        </row>
        <row r="669">
          <cell r="Q669" t="str">
            <v>R</v>
          </cell>
        </row>
        <row r="669">
          <cell r="T669" t="str">
            <v>Taguinod, Adeltrudis</v>
          </cell>
        </row>
        <row r="669">
          <cell r="AS669">
            <v>1</v>
          </cell>
        </row>
        <row r="669">
          <cell r="BS669" t="str">
            <v>Residential</v>
          </cell>
          <cell r="BT669" t="str">
            <v>Structure Owner</v>
          </cell>
        </row>
        <row r="669">
          <cell r="VV669" t="str">
            <v>isf</v>
          </cell>
        </row>
        <row r="670">
          <cell r="A670" t="str">
            <v>isf</v>
          </cell>
        </row>
        <row r="670">
          <cell r="C670" t="str">
            <v>MN-009</v>
          </cell>
        </row>
        <row r="670">
          <cell r="E670" t="str">
            <v>2686 Dagupan Ext., Barangay 165 Zone 14 Tondo Manila</v>
          </cell>
        </row>
        <row r="670">
          <cell r="Q670" t="str">
            <v>R</v>
          </cell>
        </row>
        <row r="670">
          <cell r="T670" t="str">
            <v>Camus, Mario Lito Tolentino</v>
          </cell>
        </row>
        <row r="670">
          <cell r="AS670">
            <v>0.833333333333333</v>
          </cell>
        </row>
        <row r="670">
          <cell r="BS670" t="str">
            <v>Residential</v>
          </cell>
          <cell r="BT670" t="str">
            <v>Structure Owner</v>
          </cell>
        </row>
        <row r="670">
          <cell r="VV670" t="str">
            <v>isf</v>
          </cell>
        </row>
        <row r="671">
          <cell r="A671" t="str">
            <v>isf</v>
          </cell>
        </row>
        <row r="671">
          <cell r="C671" t="str">
            <v>MN-010</v>
          </cell>
        </row>
        <row r="671">
          <cell r="E671" t="str">
            <v>2674 Dagupan Ext., Barangay 165 Zone 14 Tondo Manila</v>
          </cell>
        </row>
        <row r="671">
          <cell r="Q671" t="str">
            <v>R</v>
          </cell>
        </row>
        <row r="671">
          <cell r="AS671">
            <v>0.5</v>
          </cell>
        </row>
        <row r="671">
          <cell r="BS671" t="str">
            <v>Residential</v>
          </cell>
          <cell r="BT671" t="str">
            <v>Structure Owner</v>
          </cell>
        </row>
        <row r="671">
          <cell r="VV671" t="str">
            <v>isf</v>
          </cell>
        </row>
        <row r="672">
          <cell r="A672" t="str">
            <v>isf</v>
          </cell>
        </row>
        <row r="672">
          <cell r="C672" t="str">
            <v>MN-011</v>
          </cell>
        </row>
        <row r="672">
          <cell r="E672" t="str">
            <v>2650 Dagupan Ext., Barangay 165 Zone 14 Tondo Manila</v>
          </cell>
        </row>
        <row r="672">
          <cell r="Q672" t="str">
            <v>R</v>
          </cell>
        </row>
        <row r="672">
          <cell r="T672" t="str">
            <v>Gayona, Domingo Lapuersa</v>
          </cell>
        </row>
        <row r="672">
          <cell r="AS672">
            <v>1</v>
          </cell>
        </row>
        <row r="672">
          <cell r="BS672" t="str">
            <v>Residential</v>
          </cell>
          <cell r="BT672" t="str">
            <v>Structure Owner</v>
          </cell>
        </row>
        <row r="672">
          <cell r="VV672" t="str">
            <v>isf</v>
          </cell>
        </row>
        <row r="673">
          <cell r="A673" t="str">
            <v>isf</v>
          </cell>
        </row>
        <row r="673">
          <cell r="C673" t="str">
            <v>MN-012</v>
          </cell>
        </row>
        <row r="673">
          <cell r="E673" t="str">
            <v>2646 Dagupan Ext., Barangay 165 Zone 14 Tondo Manila</v>
          </cell>
        </row>
        <row r="673">
          <cell r="Q673" t="str">
            <v>R</v>
          </cell>
        </row>
        <row r="673">
          <cell r="T673" t="str">
            <v>Villalon, Salvador Apelado</v>
          </cell>
        </row>
        <row r="673">
          <cell r="AS673">
            <v>1</v>
          </cell>
        </row>
        <row r="673">
          <cell r="BS673" t="str">
            <v>Residential</v>
          </cell>
          <cell r="BT673" t="str">
            <v>Structure Owner</v>
          </cell>
        </row>
        <row r="673">
          <cell r="VV673" t="str">
            <v>isf</v>
          </cell>
        </row>
        <row r="674">
          <cell r="A674" t="str">
            <v>isf</v>
          </cell>
        </row>
        <row r="674">
          <cell r="C674" t="str">
            <v>MN-013</v>
          </cell>
        </row>
        <row r="674">
          <cell r="E674" t="str">
            <v>2630 Dagupan Ext., Barangay 164 Zone 14 Tondo Manila</v>
          </cell>
        </row>
        <row r="674">
          <cell r="Q674" t="str">
            <v>R</v>
          </cell>
        </row>
        <row r="674">
          <cell r="T674" t="str">
            <v>Joseph Delfin Evangelista</v>
          </cell>
        </row>
        <row r="674">
          <cell r="AS674">
            <v>1</v>
          </cell>
        </row>
        <row r="674">
          <cell r="BS674" t="str">
            <v>Residential</v>
          </cell>
          <cell r="BT674" t="str">
            <v>Structure Owner</v>
          </cell>
        </row>
        <row r="674">
          <cell r="VV674" t="str">
            <v>isf</v>
          </cell>
        </row>
        <row r="675">
          <cell r="A675" t="str">
            <v>isf</v>
          </cell>
        </row>
        <row r="675">
          <cell r="C675" t="str">
            <v>MN-014</v>
          </cell>
        </row>
        <row r="675">
          <cell r="E675" t="str">
            <v>2629 Dagupan Ext., Barangay 164 Zone 14 Tondo Manila</v>
          </cell>
        </row>
        <row r="675">
          <cell r="Q675" t="str">
            <v>R</v>
          </cell>
        </row>
        <row r="675">
          <cell r="T675" t="str">
            <v>Laurencio, Warren Ordiano</v>
          </cell>
        </row>
        <row r="675">
          <cell r="AS675">
            <v>1</v>
          </cell>
        </row>
        <row r="675">
          <cell r="BS675" t="str">
            <v>Residential</v>
          </cell>
          <cell r="BT675" t="str">
            <v>Structure Owner</v>
          </cell>
        </row>
        <row r="675">
          <cell r="VV675" t="str">
            <v>isf</v>
          </cell>
        </row>
        <row r="676">
          <cell r="A676" t="str">
            <v>isf</v>
          </cell>
        </row>
        <row r="676">
          <cell r="C676" t="str">
            <v>MN-015</v>
          </cell>
        </row>
        <row r="676">
          <cell r="E676" t="str">
            <v>2626 Dagupan Ext., Barangay 164 Zone 14 Tondo Manila</v>
          </cell>
        </row>
        <row r="676">
          <cell r="Q676" t="str">
            <v>R</v>
          </cell>
        </row>
        <row r="676">
          <cell r="T676" t="str">
            <v>De Leon, Nestor Salao</v>
          </cell>
        </row>
        <row r="676">
          <cell r="AS676">
            <v>1</v>
          </cell>
        </row>
        <row r="676">
          <cell r="BS676" t="str">
            <v>Residential</v>
          </cell>
          <cell r="BT676" t="str">
            <v>Structure Owner</v>
          </cell>
        </row>
        <row r="676">
          <cell r="VV676" t="str">
            <v>isf</v>
          </cell>
        </row>
        <row r="677">
          <cell r="A677" t="str">
            <v>isf</v>
          </cell>
        </row>
        <row r="677">
          <cell r="C677" t="str">
            <v>MN-016</v>
          </cell>
        </row>
        <row r="677">
          <cell r="E677" t="str">
            <v>2626 Dagupan Ext., Barangay 164 Zone 14 Tondo Manila</v>
          </cell>
        </row>
        <row r="677">
          <cell r="Q677" t="str">
            <v>R</v>
          </cell>
        </row>
        <row r="677">
          <cell r="T677" t="str">
            <v>De Leon, Rolando Talao</v>
          </cell>
        </row>
        <row r="677">
          <cell r="AS677">
            <v>0.5</v>
          </cell>
        </row>
        <row r="677">
          <cell r="BS677" t="str">
            <v>Residential</v>
          </cell>
          <cell r="BT677" t="str">
            <v>Structure Owner</v>
          </cell>
        </row>
        <row r="677">
          <cell r="VV677" t="str">
            <v>isf</v>
          </cell>
        </row>
        <row r="678">
          <cell r="A678" t="str">
            <v>isf</v>
          </cell>
        </row>
        <row r="678">
          <cell r="C678" t="str">
            <v>MN-017</v>
          </cell>
        </row>
        <row r="678">
          <cell r="E678" t="str">
            <v>2624 Dagupan Ext., Barangay 164 Zone 14 Tondo Manila</v>
          </cell>
        </row>
        <row r="678">
          <cell r="Q678" t="str">
            <v>R</v>
          </cell>
        </row>
        <row r="678">
          <cell r="T678" t="str">
            <v>Salgado, Armando Narvaez</v>
          </cell>
        </row>
        <row r="678">
          <cell r="AS678">
            <v>0.5</v>
          </cell>
        </row>
        <row r="678">
          <cell r="BS678" t="str">
            <v>Residential</v>
          </cell>
          <cell r="BT678" t="str">
            <v>Structure Owner</v>
          </cell>
        </row>
        <row r="678">
          <cell r="VV678" t="str">
            <v>isf</v>
          </cell>
        </row>
        <row r="679">
          <cell r="A679" t="str">
            <v>isf</v>
          </cell>
        </row>
        <row r="679">
          <cell r="C679" t="str">
            <v>MN-018</v>
          </cell>
        </row>
        <row r="679">
          <cell r="E679" t="str">
            <v>Barangay 152, Manila</v>
          </cell>
        </row>
        <row r="679">
          <cell r="Q679" t="str">
            <v>R</v>
          </cell>
        </row>
        <row r="679">
          <cell r="AS679">
            <v>0.131578947368421</v>
          </cell>
        </row>
        <row r="679">
          <cell r="BS679" t="str">
            <v>Residential</v>
          </cell>
          <cell r="BT679" t="str">
            <v>Structure Owner</v>
          </cell>
        </row>
        <row r="679">
          <cell r="VV679" t="str">
            <v>isf</v>
          </cell>
        </row>
        <row r="680">
          <cell r="A680" t="str">
            <v>isf</v>
          </cell>
        </row>
        <row r="680">
          <cell r="C680" t="str">
            <v>MN-019</v>
          </cell>
        </row>
        <row r="680">
          <cell r="E680" t="str">
            <v>723-D Interior.24 Ma. Guzon, Barangay 152 Tondo Manila</v>
          </cell>
        </row>
        <row r="680">
          <cell r="Q680" t="str">
            <v>R</v>
          </cell>
        </row>
        <row r="680">
          <cell r="T680" t="str">
            <v>Banzil, Elvira Montero</v>
          </cell>
        </row>
        <row r="680">
          <cell r="AS680">
            <v>0.25</v>
          </cell>
        </row>
        <row r="680">
          <cell r="BS680" t="str">
            <v>Residential</v>
          </cell>
          <cell r="BT680" t="str">
            <v>Structure Owner</v>
          </cell>
        </row>
        <row r="680">
          <cell r="VV680" t="str">
            <v>isf</v>
          </cell>
        </row>
        <row r="681">
          <cell r="A681" t="str">
            <v>isf</v>
          </cell>
        </row>
        <row r="681">
          <cell r="C681" t="str">
            <v>MN-020</v>
          </cell>
        </row>
        <row r="681">
          <cell r="E681" t="str">
            <v>2093 Dagupan Ext., Barangay 155 Tondo Manila</v>
          </cell>
        </row>
        <row r="681">
          <cell r="Q681" t="str">
            <v>R</v>
          </cell>
        </row>
        <row r="681">
          <cell r="T681" t="str">
            <v>Maonog, David</v>
          </cell>
        </row>
        <row r="681">
          <cell r="AS681">
            <v>0.08</v>
          </cell>
        </row>
        <row r="681">
          <cell r="BS681" t="str">
            <v>Residential</v>
          </cell>
          <cell r="BT681" t="str">
            <v>Structure Owner</v>
          </cell>
        </row>
        <row r="681">
          <cell r="JR681" t="str">
            <v>Can Stay (ACCESS BLOCK)</v>
          </cell>
        </row>
        <row r="681">
          <cell r="KI681" t="str">
            <v>Cash Compensation</v>
          </cell>
        </row>
        <row r="682">
          <cell r="A682" t="str">
            <v>isf</v>
          </cell>
        </row>
        <row r="682">
          <cell r="C682" t="str">
            <v>MN-021</v>
          </cell>
        </row>
        <row r="682">
          <cell r="E682" t="str">
            <v>2093 Dagupan Ext., Barangay 155 Tondo Manila</v>
          </cell>
        </row>
        <row r="682">
          <cell r="Q682" t="str">
            <v>R</v>
          </cell>
        </row>
        <row r="682">
          <cell r="T682" t="str">
            <v>Punla, Danilo</v>
          </cell>
        </row>
        <row r="682">
          <cell r="AS682">
            <v>0.166666666666667</v>
          </cell>
        </row>
        <row r="682">
          <cell r="BS682" t="str">
            <v>Residential</v>
          </cell>
          <cell r="BT682" t="str">
            <v>Structure Owner</v>
          </cell>
        </row>
        <row r="682">
          <cell r="JR682" t="str">
            <v>Can Stay (ACCESS BLOCK)</v>
          </cell>
        </row>
        <row r="682">
          <cell r="KI682" t="str">
            <v>Relocation</v>
          </cell>
          <cell r="KJ682" t="str">
            <v>Bulacan</v>
          </cell>
        </row>
        <row r="682">
          <cell r="KL682" t="str">
            <v>Pandi Residences (Brgy. Mapulang Lupa, Pandi, Bulacan)</v>
          </cell>
        </row>
        <row r="682">
          <cell r="KQ682" t="str">
            <v>x</v>
          </cell>
        </row>
        <row r="682">
          <cell r="KX682" t="str">
            <v>Y</v>
          </cell>
        </row>
        <row r="682">
          <cell r="LB682" t="str">
            <v>x</v>
          </cell>
          <cell r="LC682" t="str">
            <v>x</v>
          </cell>
        </row>
        <row r="682">
          <cell r="LF682" t="str">
            <v>x</v>
          </cell>
        </row>
        <row r="683">
          <cell r="A683" t="str">
            <v>isf</v>
          </cell>
        </row>
        <row r="683">
          <cell r="C683" t="str">
            <v>MN-022</v>
          </cell>
        </row>
        <row r="683">
          <cell r="E683" t="str">
            <v>2087 Dagupan Ext., Barangay 155 Tondo Manila</v>
          </cell>
        </row>
        <row r="683">
          <cell r="Q683" t="str">
            <v>R</v>
          </cell>
        </row>
        <row r="683">
          <cell r="T683" t="str">
            <v>Rivera,  Marcus Mariro</v>
          </cell>
        </row>
        <row r="683">
          <cell r="AS683">
            <v>0.5</v>
          </cell>
        </row>
        <row r="683">
          <cell r="BS683" t="str">
            <v>Residential</v>
          </cell>
          <cell r="BT683" t="str">
            <v>Structure Owner</v>
          </cell>
        </row>
        <row r="683">
          <cell r="VV683" t="str">
            <v>isf</v>
          </cell>
        </row>
        <row r="684">
          <cell r="A684" t="str">
            <v>legal</v>
          </cell>
        </row>
        <row r="684">
          <cell r="C684" t="str">
            <v>MN-023</v>
          </cell>
        </row>
        <row r="684">
          <cell r="E684" t="str">
            <v>Dagupan Ext., Barangay 155 Tondo Manila</v>
          </cell>
        </row>
        <row r="684">
          <cell r="Q684" t="str">
            <v>R</v>
          </cell>
        </row>
        <row r="684">
          <cell r="AS684">
            <v>0.78</v>
          </cell>
        </row>
        <row r="684">
          <cell r="BS684" t="str">
            <v>Industrial</v>
          </cell>
          <cell r="BT684" t="str">
            <v>Structure Owner</v>
          </cell>
        </row>
        <row r="684">
          <cell r="VV684" t="str">
            <v>legal</v>
          </cell>
        </row>
        <row r="685">
          <cell r="A685" t="str">
            <v>isf</v>
          </cell>
        </row>
        <row r="685">
          <cell r="C685" t="str">
            <v>MN-024</v>
          </cell>
        </row>
        <row r="685">
          <cell r="E685" t="str">
            <v>2069 Dagupan Ext., Barangay 155 Tondo Manila</v>
          </cell>
        </row>
        <row r="685">
          <cell r="Q685" t="str">
            <v>R</v>
          </cell>
        </row>
        <row r="685">
          <cell r="T685" t="str">
            <v>Pangilinan, Lolita Manlangit</v>
          </cell>
        </row>
        <row r="685">
          <cell r="AS685">
            <v>0.5</v>
          </cell>
        </row>
        <row r="685">
          <cell r="BS685" t="str">
            <v>Residential</v>
          </cell>
          <cell r="BT685" t="str">
            <v>Structure Owner</v>
          </cell>
        </row>
        <row r="685">
          <cell r="VV685" t="str">
            <v>isf</v>
          </cell>
        </row>
        <row r="686">
          <cell r="A686" t="str">
            <v>ISF</v>
          </cell>
        </row>
        <row r="686">
          <cell r="C686" t="str">
            <v>MN-025</v>
          </cell>
        </row>
        <row r="686">
          <cell r="E686" t="str">
            <v>2069 Dagupan Ext., Barangay 155 Tondo Manila</v>
          </cell>
        </row>
        <row r="686">
          <cell r="Q686" t="str">
            <v>R</v>
          </cell>
        </row>
        <row r="686">
          <cell r="T686" t="str">
            <v>Miranda, Marcela</v>
          </cell>
        </row>
        <row r="686">
          <cell r="AS686">
            <v>0.277777777777778</v>
          </cell>
        </row>
        <row r="686">
          <cell r="BS686" t="str">
            <v>Residential</v>
          </cell>
          <cell r="BT686" t="str">
            <v>Structure Owner</v>
          </cell>
        </row>
        <row r="686">
          <cell r="JR686" t="str">
            <v>Can Stay (ACCESS BLOCK)</v>
          </cell>
        </row>
        <row r="686">
          <cell r="KI686" t="str">
            <v>Relocation</v>
          </cell>
          <cell r="KJ686" t="str">
            <v>Cavite</v>
          </cell>
        </row>
        <row r="686">
          <cell r="KL686" t="str">
            <v>Cavite</v>
          </cell>
        </row>
        <row r="686">
          <cell r="KQ686" t="str">
            <v>x</v>
          </cell>
        </row>
        <row r="686">
          <cell r="KX686" t="str">
            <v>No</v>
          </cell>
        </row>
        <row r="686">
          <cell r="KZ686" t="str">
            <v>x</v>
          </cell>
        </row>
        <row r="686">
          <cell r="LB686" t="str">
            <v>x</v>
          </cell>
        </row>
        <row r="687">
          <cell r="A687" t="str">
            <v>isf</v>
          </cell>
        </row>
        <row r="687">
          <cell r="C687" t="str">
            <v>MN-026</v>
          </cell>
        </row>
        <row r="687">
          <cell r="E687" t="str">
            <v>2047 Dagupan Ext., Barangay 159 Zone 14, Tondo Manila</v>
          </cell>
        </row>
        <row r="687">
          <cell r="Q687" t="str">
            <v>R</v>
          </cell>
        </row>
        <row r="687">
          <cell r="T687" t="str">
            <v>Galsim, Joe Allen Bautista</v>
          </cell>
        </row>
        <row r="687">
          <cell r="AS687">
            <v>0.208333333333333</v>
          </cell>
        </row>
        <row r="687">
          <cell r="BS687" t="str">
            <v>Residential</v>
          </cell>
          <cell r="BT687" t="str">
            <v>Structure Owner</v>
          </cell>
        </row>
        <row r="687">
          <cell r="VV687" t="str">
            <v>isf</v>
          </cell>
        </row>
        <row r="688">
          <cell r="A688" t="str">
            <v>isf</v>
          </cell>
        </row>
        <row r="688">
          <cell r="C688" t="str">
            <v>MN-027</v>
          </cell>
        </row>
        <row r="688">
          <cell r="E688" t="str">
            <v>2045 Dagupan Ext., Barangay 159 Zone 14, Tondo Manila</v>
          </cell>
        </row>
        <row r="688">
          <cell r="Q688" t="str">
            <v>R</v>
          </cell>
        </row>
        <row r="688">
          <cell r="T688" t="str">
            <v>Flotareo Alvarez</v>
          </cell>
        </row>
        <row r="688">
          <cell r="AS688">
            <v>0.176</v>
          </cell>
        </row>
        <row r="688">
          <cell r="BS688" t="str">
            <v>Mixed Use</v>
          </cell>
          <cell r="BT688" t="str">
            <v>Structure Owner</v>
          </cell>
        </row>
        <row r="688">
          <cell r="JR688" t="str">
            <v>Can Stay</v>
          </cell>
        </row>
        <row r="689">
          <cell r="A689" t="str">
            <v>isf</v>
          </cell>
        </row>
        <row r="689">
          <cell r="C689" t="str">
            <v>MN-028</v>
          </cell>
        </row>
        <row r="689">
          <cell r="E689" t="str">
            <v>2029 Dagupan Ext., Barangay 159, Tondo Manila</v>
          </cell>
        </row>
        <row r="689">
          <cell r="Q689" t="str">
            <v>R</v>
          </cell>
        </row>
        <row r="689">
          <cell r="T689" t="str">
            <v>Agnas, Leonila Balala</v>
          </cell>
        </row>
        <row r="689">
          <cell r="AS689">
            <v>1</v>
          </cell>
        </row>
        <row r="689">
          <cell r="BS689" t="str">
            <v>Mixed Use</v>
          </cell>
          <cell r="BT689" t="str">
            <v>Structure Owner</v>
          </cell>
        </row>
        <row r="689">
          <cell r="JR689" t="str">
            <v>Can Stay</v>
          </cell>
        </row>
        <row r="689">
          <cell r="VV689" t="str">
            <v>isf</v>
          </cell>
        </row>
        <row r="690">
          <cell r="A690" t="str">
            <v>isf</v>
          </cell>
        </row>
        <row r="690">
          <cell r="C690" t="str">
            <v>MN-029</v>
          </cell>
        </row>
        <row r="690">
          <cell r="E690" t="str">
            <v>2035 Dagupan Ext., Barangay 159, Tondo Manila</v>
          </cell>
        </row>
        <row r="690">
          <cell r="Q690" t="str">
            <v>R</v>
          </cell>
        </row>
        <row r="690">
          <cell r="T690" t="str">
            <v>Estuaria, Rosario</v>
          </cell>
        </row>
        <row r="690">
          <cell r="AS690">
            <v>0.0444444444444444</v>
          </cell>
        </row>
        <row r="690">
          <cell r="BS690" t="str">
            <v>Residential</v>
          </cell>
          <cell r="BT690" t="str">
            <v>Structure Owner</v>
          </cell>
        </row>
        <row r="690">
          <cell r="JR690" t="str">
            <v>Can Stay (ACCESS BLOCK)</v>
          </cell>
        </row>
        <row r="691">
          <cell r="A691" t="str">
            <v>isf</v>
          </cell>
        </row>
        <row r="691">
          <cell r="C691" t="str">
            <v>MN-030</v>
          </cell>
        </row>
        <row r="691">
          <cell r="E691" t="str">
            <v>2033 Daang Bakal St., Barangay 159 Zone 14, Tondo Manila</v>
          </cell>
        </row>
        <row r="691">
          <cell r="Q691" t="str">
            <v>R</v>
          </cell>
        </row>
        <row r="691">
          <cell r="T691" t="str">
            <v>Reyes, Romeo</v>
          </cell>
        </row>
        <row r="691">
          <cell r="AS691">
            <v>0.0909090909090909</v>
          </cell>
        </row>
        <row r="691">
          <cell r="BS691" t="str">
            <v>Mixed Use</v>
          </cell>
          <cell r="BT691" t="str">
            <v>Structure Owner</v>
          </cell>
        </row>
        <row r="691">
          <cell r="JR691" t="str">
            <v>Can Stay</v>
          </cell>
        </row>
        <row r="692">
          <cell r="A692" t="str">
            <v>isf-sh-691</v>
          </cell>
        </row>
        <row r="692">
          <cell r="C692" t="str">
            <v>MN-030</v>
          </cell>
        </row>
        <row r="692">
          <cell r="E692" t="str">
            <v>2033 Daang Bakal St., Barangay 159 Zone 14, Tondo Manila</v>
          </cell>
        </row>
        <row r="692">
          <cell r="Q692" t="str">
            <v>R</v>
          </cell>
        </row>
        <row r="692">
          <cell r="T692" t="str">
            <v>Reyes, Rosalie</v>
          </cell>
        </row>
        <row r="692">
          <cell r="BS692" t="str">
            <v>Mixed Use</v>
          </cell>
          <cell r="BT692" t="str">
            <v>Sharer</v>
          </cell>
        </row>
        <row r="692">
          <cell r="JR692" t="str">
            <v>Can Stay (ACCESS BLOCK)</v>
          </cell>
        </row>
        <row r="693">
          <cell r="A693" t="str">
            <v>isf</v>
          </cell>
        </row>
        <row r="693">
          <cell r="C693" t="str">
            <v>MN-031</v>
          </cell>
        </row>
        <row r="693">
          <cell r="E693" t="str">
            <v>2027 Daang Bakal Barangay 159 Zone 14, Tayuman Tondo Manila</v>
          </cell>
        </row>
        <row r="693">
          <cell r="Q693" t="str">
            <v>R</v>
          </cell>
        </row>
        <row r="693">
          <cell r="T693" t="str">
            <v>Querubin, Rossano Sarabia</v>
          </cell>
        </row>
        <row r="693">
          <cell r="AS693">
            <v>0.84</v>
          </cell>
        </row>
        <row r="693">
          <cell r="BS693" t="str">
            <v>Residential</v>
          </cell>
          <cell r="BT693" t="str">
            <v>Structure Owner</v>
          </cell>
        </row>
        <row r="693">
          <cell r="VV693" t="str">
            <v>isf</v>
          </cell>
        </row>
        <row r="694">
          <cell r="A694" t="str">
            <v>isf</v>
          </cell>
        </row>
        <row r="694">
          <cell r="C694" t="str">
            <v>MN-032</v>
          </cell>
        </row>
        <row r="694">
          <cell r="E694" t="str">
            <v>2023 Daang Bakal St., Barangay 159 Zone 14, Tondo Manila</v>
          </cell>
        </row>
        <row r="694">
          <cell r="Q694" t="str">
            <v>R</v>
          </cell>
        </row>
        <row r="694">
          <cell r="T694" t="str">
            <v>Pepito Mallari</v>
          </cell>
        </row>
        <row r="694">
          <cell r="AS694">
            <v>0.1875</v>
          </cell>
        </row>
        <row r="694">
          <cell r="BS694" t="str">
            <v>Residential</v>
          </cell>
          <cell r="BT694" t="str">
            <v>Structure Owner</v>
          </cell>
        </row>
        <row r="694">
          <cell r="JR694" t="str">
            <v>Can Stay</v>
          </cell>
        </row>
        <row r="695">
          <cell r="A695" t="str">
            <v>isf</v>
          </cell>
        </row>
        <row r="695">
          <cell r="C695" t="str">
            <v>MN-033</v>
          </cell>
        </row>
        <row r="695">
          <cell r="E695" t="str">
            <v>2023 Daang Bakal St., Barangay 159 Zone 14, Tondo Manila</v>
          </cell>
        </row>
        <row r="695">
          <cell r="Q695" t="str">
            <v>R</v>
          </cell>
        </row>
        <row r="695">
          <cell r="T695" t="str">
            <v>Andres, Carolina Teodoro</v>
          </cell>
        </row>
        <row r="695">
          <cell r="AS695">
            <v>0.214285714285714</v>
          </cell>
        </row>
        <row r="695">
          <cell r="BS695" t="str">
            <v>Residential</v>
          </cell>
          <cell r="BT695" t="str">
            <v>Structure Owner</v>
          </cell>
        </row>
        <row r="695">
          <cell r="JR695" t="str">
            <v>Can Stay (ACCESS BLOCK)</v>
          </cell>
        </row>
        <row r="696">
          <cell r="A696" t="str">
            <v>legal</v>
          </cell>
        </row>
        <row r="696">
          <cell r="C696" t="str">
            <v>MN-034</v>
          </cell>
        </row>
        <row r="696">
          <cell r="E696" t="str">
            <v>2023 Daang Bakal St., Barangay 159 Zone 14, Tondo Manila</v>
          </cell>
        </row>
        <row r="696">
          <cell r="Q696" t="str">
            <v>R</v>
          </cell>
        </row>
        <row r="696">
          <cell r="T696" t="str">
            <v>Pineda, Ricardo</v>
          </cell>
        </row>
        <row r="696">
          <cell r="AS696">
            <v>0.0235294117647059</v>
          </cell>
        </row>
        <row r="696">
          <cell r="BS696" t="str">
            <v>Residential</v>
          </cell>
          <cell r="BT696" t="str">
            <v>Structure Owner</v>
          </cell>
        </row>
        <row r="696">
          <cell r="JR696" t="str">
            <v>Can Stay</v>
          </cell>
        </row>
        <row r="696">
          <cell r="VV696" t="str">
            <v>legal</v>
          </cell>
        </row>
        <row r="697">
          <cell r="A697" t="str">
            <v>legal</v>
          </cell>
        </row>
        <row r="697">
          <cell r="C697" t="str">
            <v>MN-035</v>
          </cell>
        </row>
        <row r="697">
          <cell r="E697" t="str">
            <v>2019 Daang Bakal St., Barangay 159 Zone 14, Tondo Manila</v>
          </cell>
        </row>
        <row r="697">
          <cell r="Q697" t="str">
            <v>R</v>
          </cell>
        </row>
        <row r="697">
          <cell r="T697" t="str">
            <v>Tolentino, Leoniila</v>
          </cell>
        </row>
        <row r="697">
          <cell r="AS697">
            <v>0.0875</v>
          </cell>
        </row>
        <row r="697">
          <cell r="BS697" t="str">
            <v>Residential</v>
          </cell>
          <cell r="BT697" t="str">
            <v>Structure Owner</v>
          </cell>
        </row>
        <row r="697">
          <cell r="JR697" t="str">
            <v>Can Stay</v>
          </cell>
        </row>
        <row r="697">
          <cell r="VV697" t="str">
            <v>legal</v>
          </cell>
        </row>
        <row r="698">
          <cell r="A698" t="str">
            <v>legal-r 697</v>
          </cell>
        </row>
        <row r="698">
          <cell r="C698" t="str">
            <v>MN-035</v>
          </cell>
        </row>
        <row r="698">
          <cell r="E698" t="str">
            <v>2019 Daang Bakal St., Barangay 159 Zone 14, Tondo Manila</v>
          </cell>
        </row>
        <row r="698">
          <cell r="T698" t="str">
            <v>Babiano, Regina Jean</v>
          </cell>
        </row>
        <row r="698">
          <cell r="BS698" t="str">
            <v>Residential</v>
          </cell>
          <cell r="BT698" t="str">
            <v>Structure Renter</v>
          </cell>
        </row>
        <row r="698">
          <cell r="JP698">
            <v>2000</v>
          </cell>
        </row>
        <row r="698">
          <cell r="JR698" t="str">
            <v>Need Displacement</v>
          </cell>
        </row>
        <row r="698">
          <cell r="VV698" t="str">
            <v>legal-r 697</v>
          </cell>
        </row>
        <row r="699">
          <cell r="A699" t="str">
            <v>legal-r 697</v>
          </cell>
        </row>
        <row r="699">
          <cell r="C699" t="str">
            <v>MN-035</v>
          </cell>
        </row>
        <row r="699">
          <cell r="E699" t="str">
            <v>2019 Daang Bakal St., Barangay 159 Zone 14, Tondo Manila</v>
          </cell>
        </row>
        <row r="699">
          <cell r="T699" t="str">
            <v>Pascua, Raymark Andrade</v>
          </cell>
        </row>
        <row r="699">
          <cell r="BS699" t="str">
            <v>Residential</v>
          </cell>
          <cell r="BT699" t="str">
            <v>Structure Renter</v>
          </cell>
        </row>
        <row r="699">
          <cell r="JR699" t="str">
            <v>Need Displacement</v>
          </cell>
        </row>
        <row r="699">
          <cell r="VV699" t="str">
            <v>legal-r 697</v>
          </cell>
        </row>
        <row r="700">
          <cell r="A700" t="str">
            <v>legal-r 697</v>
          </cell>
        </row>
        <row r="700">
          <cell r="C700" t="str">
            <v>MN-035</v>
          </cell>
        </row>
        <row r="700">
          <cell r="E700" t="str">
            <v>2019 Daang Bakal St., Barangay 159 Zone 14, Tondo Manila</v>
          </cell>
        </row>
        <row r="700">
          <cell r="BS700" t="str">
            <v>Residential</v>
          </cell>
          <cell r="BT700" t="str">
            <v>Structure Renter</v>
          </cell>
        </row>
        <row r="700">
          <cell r="JR700" t="str">
            <v>Can Stay (ACCESS BLOCK)</v>
          </cell>
        </row>
        <row r="700">
          <cell r="VV700" t="str">
            <v>legal-r 697</v>
          </cell>
        </row>
        <row r="701">
          <cell r="A701" t="str">
            <v>legal</v>
          </cell>
        </row>
        <row r="701">
          <cell r="C701" t="str">
            <v>MN-036</v>
          </cell>
        </row>
        <row r="701">
          <cell r="E701" t="str">
            <v>2015 Dagupan Ext., Barangay 159 Zone 14 District 2 Tondo Manila</v>
          </cell>
        </row>
        <row r="701">
          <cell r="Q701" t="str">
            <v>R</v>
          </cell>
        </row>
        <row r="701">
          <cell r="T701" t="str">
            <v>Maningding, Arthur</v>
          </cell>
        </row>
        <row r="701">
          <cell r="AS701">
            <v>0.201149425287356</v>
          </cell>
        </row>
        <row r="701">
          <cell r="BS701" t="str">
            <v>Residential</v>
          </cell>
          <cell r="BT701" t="str">
            <v>Structure Owner</v>
          </cell>
        </row>
        <row r="701">
          <cell r="JR701" t="str">
            <v>Can Stay</v>
          </cell>
        </row>
        <row r="701">
          <cell r="VV701" t="str">
            <v>legal</v>
          </cell>
        </row>
        <row r="702">
          <cell r="A702" t="str">
            <v>legal</v>
          </cell>
        </row>
        <row r="702">
          <cell r="C702" t="str">
            <v>MN-037</v>
          </cell>
        </row>
        <row r="702">
          <cell r="E702" t="str">
            <v>2011 Dagupan Ext., Barangay 159 Zone 14 District 2 Tondo Manila</v>
          </cell>
        </row>
        <row r="702">
          <cell r="Q702" t="str">
            <v>R</v>
          </cell>
        </row>
        <row r="702">
          <cell r="T702" t="str">
            <v>Tagle, Lucera</v>
          </cell>
        </row>
        <row r="702">
          <cell r="AS702">
            <v>0.182926829268293</v>
          </cell>
        </row>
        <row r="702">
          <cell r="BS702" t="str">
            <v>Residential</v>
          </cell>
          <cell r="BT702" t="str">
            <v>Structure Owner</v>
          </cell>
        </row>
        <row r="702">
          <cell r="JR702" t="str">
            <v>Can Stay</v>
          </cell>
        </row>
        <row r="702">
          <cell r="KI702" t="str">
            <v>Cash Compensation</v>
          </cell>
        </row>
        <row r="702">
          <cell r="VV702" t="str">
            <v>legal</v>
          </cell>
        </row>
        <row r="703">
          <cell r="A703" t="str">
            <v>legal</v>
          </cell>
        </row>
        <row r="703">
          <cell r="C703" t="str">
            <v>MN-038</v>
          </cell>
        </row>
        <row r="703">
          <cell r="E703" t="str">
            <v>2005 Daang Bakal St., Barangay 159 Zone 14, Tondo Manila</v>
          </cell>
        </row>
        <row r="703">
          <cell r="Q703" t="str">
            <v>R</v>
          </cell>
        </row>
        <row r="703">
          <cell r="T703" t="str">
            <v>Lagman, Raquel</v>
          </cell>
        </row>
        <row r="703">
          <cell r="AS703">
            <v>0.119565217391304</v>
          </cell>
        </row>
        <row r="703">
          <cell r="BS703" t="str">
            <v>Residential</v>
          </cell>
          <cell r="BT703" t="str">
            <v>Structure Owner</v>
          </cell>
        </row>
        <row r="703">
          <cell r="JR703" t="str">
            <v>Can Stay (ACCESS BLOCK)</v>
          </cell>
        </row>
        <row r="703">
          <cell r="VV703" t="str">
            <v>legal</v>
          </cell>
        </row>
        <row r="704">
          <cell r="A704" t="str">
            <v>isf</v>
          </cell>
        </row>
        <row r="704">
          <cell r="C704" t="str">
            <v>MN-039</v>
          </cell>
        </row>
        <row r="704">
          <cell r="E704" t="str">
            <v>1999A Daang Bakal St., Barangay 159 Zone 14, Tondo Manila</v>
          </cell>
        </row>
        <row r="704">
          <cell r="Q704" t="str">
            <v>R</v>
          </cell>
        </row>
        <row r="704">
          <cell r="T704" t="str">
            <v>Quimoyog, Noel</v>
          </cell>
        </row>
        <row r="704">
          <cell r="AS704">
            <v>1</v>
          </cell>
        </row>
        <row r="704">
          <cell r="BS704" t="str">
            <v>Residential</v>
          </cell>
          <cell r="BT704" t="str">
            <v>Structure Owner</v>
          </cell>
        </row>
        <row r="704">
          <cell r="JR704" t="str">
            <v>Need Displacement</v>
          </cell>
        </row>
        <row r="704">
          <cell r="KI704" t="str">
            <v>Cash Compensation/ Balik Probinsiya Program</v>
          </cell>
        </row>
        <row r="705">
          <cell r="A705" t="str">
            <v>legal</v>
          </cell>
        </row>
        <row r="705">
          <cell r="C705" t="str">
            <v>MN-040</v>
          </cell>
        </row>
        <row r="705">
          <cell r="E705" t="str">
            <v>1999 Daang Bakal St., Barangay 159 Zone 14, Tondo Manila</v>
          </cell>
        </row>
        <row r="705">
          <cell r="Q705" t="str">
            <v>R</v>
          </cell>
        </row>
        <row r="705">
          <cell r="T705" t="str">
            <v>Domingo, Corazon</v>
          </cell>
        </row>
        <row r="705">
          <cell r="AS705">
            <v>0.22</v>
          </cell>
        </row>
        <row r="705">
          <cell r="BS705" t="str">
            <v>Residential</v>
          </cell>
          <cell r="BT705" t="str">
            <v>Structure Owner</v>
          </cell>
        </row>
        <row r="705">
          <cell r="JR705" t="str">
            <v>Can Stay (ACCESS BLOCK)</v>
          </cell>
        </row>
        <row r="705">
          <cell r="KI705" t="str">
            <v>Relocation</v>
          </cell>
          <cell r="KJ705" t="str">
            <v>Bulacan</v>
          </cell>
        </row>
        <row r="705">
          <cell r="KL705" t="str">
            <v>NorthVille 7, Brgy.Malis, Guiguinto Bulacan</v>
          </cell>
        </row>
        <row r="705">
          <cell r="KQ705" t="str">
            <v>x</v>
          </cell>
        </row>
        <row r="705">
          <cell r="KX705" t="str">
            <v>Y</v>
          </cell>
        </row>
        <row r="705">
          <cell r="VV705" t="str">
            <v>legal</v>
          </cell>
        </row>
        <row r="706">
          <cell r="A706" t="str">
            <v>legal</v>
          </cell>
        </row>
        <row r="706">
          <cell r="C706" t="str">
            <v>MN-040</v>
          </cell>
        </row>
        <row r="706">
          <cell r="E706" t="str">
            <v>1999 Daang Bakal St., Barangay 159 Zone 14, Tondo Manila</v>
          </cell>
        </row>
        <row r="706">
          <cell r="Q706" t="str">
            <v>R</v>
          </cell>
        </row>
        <row r="706">
          <cell r="T706" t="str">
            <v>Suck, Farida</v>
          </cell>
        </row>
        <row r="706">
          <cell r="BS706" t="str">
            <v>Residential</v>
          </cell>
          <cell r="BT706" t="str">
            <v>Sharer</v>
          </cell>
        </row>
        <row r="706">
          <cell r="JR706" t="str">
            <v>Need Displacement</v>
          </cell>
        </row>
        <row r="706">
          <cell r="KI706" t="str">
            <v>Cash Compensation</v>
          </cell>
        </row>
        <row r="707">
          <cell r="A707" t="str">
            <v>legal</v>
          </cell>
        </row>
        <row r="707">
          <cell r="C707" t="str">
            <v>MN-040A</v>
          </cell>
        </row>
        <row r="707">
          <cell r="E707" t="str">
            <v>1999 Daang Bakal St., Barangay 159 Zone 14, Tondo Manila</v>
          </cell>
        </row>
        <row r="707">
          <cell r="T707" t="str">
            <v>Evangelista, Carolyn</v>
          </cell>
        </row>
        <row r="707">
          <cell r="BS707" t="str">
            <v>Residential</v>
          </cell>
          <cell r="BT707" t="str">
            <v>Structure Owner</v>
          </cell>
        </row>
        <row r="707">
          <cell r="JR707" t="str">
            <v>Need Displacement</v>
          </cell>
        </row>
        <row r="708">
          <cell r="A708" t="str">
            <v>isf</v>
          </cell>
        </row>
        <row r="708">
          <cell r="C708" t="str">
            <v>MN-041</v>
          </cell>
        </row>
        <row r="708">
          <cell r="E708" t="str">
            <v>1999 Daang Bakal St., Barangay 159 Zone 14, Tondo Manila</v>
          </cell>
        </row>
        <row r="708">
          <cell r="Q708" t="str">
            <v>R</v>
          </cell>
        </row>
        <row r="708">
          <cell r="T708" t="str">
            <v>Paras, Marcelo</v>
          </cell>
        </row>
        <row r="708">
          <cell r="AS708">
            <v>1</v>
          </cell>
        </row>
        <row r="708">
          <cell r="BS708" t="str">
            <v>Residential</v>
          </cell>
          <cell r="BT708" t="str">
            <v>Structure Owner</v>
          </cell>
        </row>
        <row r="708">
          <cell r="JR708" t="str">
            <v>Need Displacement</v>
          </cell>
        </row>
        <row r="708">
          <cell r="KI708" t="str">
            <v>Relocation</v>
          </cell>
        </row>
        <row r="708">
          <cell r="KL708" t="str">
            <v>Disiplina Village (Brgy Bignay, Valenzuela City)</v>
          </cell>
        </row>
        <row r="708">
          <cell r="KQ708" t="str">
            <v>x</v>
          </cell>
          <cell r="KR708" t="str">
            <v>x</v>
          </cell>
          <cell r="KS708" t="str">
            <v>x</v>
          </cell>
          <cell r="KT708" t="str">
            <v>x</v>
          </cell>
          <cell r="KU708" t="str">
            <v>x</v>
          </cell>
        </row>
        <row r="708">
          <cell r="KZ708" t="str">
            <v>x</v>
          </cell>
          <cell r="LA708" t="str">
            <v>x</v>
          </cell>
          <cell r="LB708" t="str">
            <v>x</v>
          </cell>
          <cell r="LC708" t="str">
            <v>x</v>
          </cell>
          <cell r="LD708" t="str">
            <v>x</v>
          </cell>
          <cell r="LE708" t="str">
            <v>x</v>
          </cell>
          <cell r="LF708" t="str">
            <v>x</v>
          </cell>
        </row>
        <row r="709">
          <cell r="A709" t="str">
            <v>isf</v>
          </cell>
        </row>
        <row r="709">
          <cell r="C709" t="str">
            <v>MN-042</v>
          </cell>
        </row>
        <row r="709">
          <cell r="E709" t="str">
            <v>1999 Daang Bakal St., Barangay 159 Zone 14, Tondo Manila</v>
          </cell>
        </row>
        <row r="709">
          <cell r="Q709" t="str">
            <v>R</v>
          </cell>
        </row>
        <row r="709">
          <cell r="T709" t="str">
            <v>Lavarias, Rhainier Angelo</v>
          </cell>
        </row>
        <row r="709">
          <cell r="AS709">
            <v>0.454658385093168</v>
          </cell>
        </row>
        <row r="709">
          <cell r="BS709" t="str">
            <v>Mixed Use</v>
          </cell>
          <cell r="BT709" t="str">
            <v>Structure Owner</v>
          </cell>
        </row>
        <row r="709">
          <cell r="JR709" t="str">
            <v>Need Displacement</v>
          </cell>
        </row>
        <row r="709">
          <cell r="KI709" t="str">
            <v>Relocation</v>
          </cell>
        </row>
        <row r="709">
          <cell r="KL709" t="str">
            <v>Cavite</v>
          </cell>
        </row>
        <row r="709">
          <cell r="KQ709" t="str">
            <v>x</v>
          </cell>
          <cell r="KR709" t="str">
            <v>x</v>
          </cell>
          <cell r="KS709" t="str">
            <v>x</v>
          </cell>
          <cell r="KT709" t="str">
            <v>x</v>
          </cell>
          <cell r="KU709" t="str">
            <v>x</v>
          </cell>
        </row>
        <row r="709">
          <cell r="KX709" t="str">
            <v>Y</v>
          </cell>
        </row>
        <row r="709">
          <cell r="KZ709" t="str">
            <v>x</v>
          </cell>
          <cell r="LA709" t="str">
            <v>x</v>
          </cell>
          <cell r="LB709" t="str">
            <v>x</v>
          </cell>
          <cell r="LC709" t="str">
            <v>x</v>
          </cell>
          <cell r="LD709" t="str">
            <v>x</v>
          </cell>
          <cell r="LE709" t="str">
            <v>x</v>
          </cell>
          <cell r="LF709" t="str">
            <v>x</v>
          </cell>
        </row>
        <row r="710">
          <cell r="A710" t="str">
            <v>isf</v>
          </cell>
        </row>
        <row r="710">
          <cell r="C710" t="str">
            <v>MN-043</v>
          </cell>
        </row>
        <row r="710">
          <cell r="E710" t="str">
            <v>1997 Daang Bakal St., Barangay 159 Zone 14, Tondo Manila</v>
          </cell>
        </row>
        <row r="710">
          <cell r="Q710" t="str">
            <v>R</v>
          </cell>
        </row>
        <row r="710">
          <cell r="T710" t="str">
            <v>Lavarias, Trixie</v>
          </cell>
        </row>
        <row r="710">
          <cell r="AS710">
            <v>0.245810055865922</v>
          </cell>
        </row>
        <row r="710">
          <cell r="BS710" t="str">
            <v>Residential</v>
          </cell>
          <cell r="BT710" t="str">
            <v>Structure Owner</v>
          </cell>
        </row>
        <row r="710">
          <cell r="JR710" t="str">
            <v>Need Displacement</v>
          </cell>
        </row>
        <row r="710">
          <cell r="KI710" t="str">
            <v>Cash Compensation/ Balik Probinsiya Program</v>
          </cell>
        </row>
        <row r="711">
          <cell r="A711" t="str">
            <v>isf</v>
          </cell>
        </row>
        <row r="711">
          <cell r="C711" t="str">
            <v>MN-044</v>
          </cell>
        </row>
        <row r="711">
          <cell r="E711" t="str">
            <v>1993 Daang Bakal St., Barangay 159 Zone 14, Tondo Manila</v>
          </cell>
        </row>
        <row r="711">
          <cell r="Q711" t="str">
            <v>R</v>
          </cell>
        </row>
        <row r="711">
          <cell r="T711" t="str">
            <v>Addun, Estella</v>
          </cell>
        </row>
        <row r="711">
          <cell r="AS711">
            <v>0.630630630630631</v>
          </cell>
        </row>
        <row r="711">
          <cell r="BS711" t="str">
            <v>Residential</v>
          </cell>
          <cell r="BT711" t="str">
            <v>Structure Owner</v>
          </cell>
        </row>
        <row r="711">
          <cell r="JR711" t="str">
            <v>Need Displacement</v>
          </cell>
        </row>
        <row r="711">
          <cell r="KI711" t="str">
            <v>Relocation</v>
          </cell>
          <cell r="KJ711" t="str">
            <v>Bulacan</v>
          </cell>
        </row>
        <row r="711">
          <cell r="KL711" t="str">
            <v>San Jose Del Monte Heights, (Brgy. Muzon, SJDM, Bulacan)</v>
          </cell>
        </row>
        <row r="711">
          <cell r="KQ711" t="str">
            <v>x</v>
          </cell>
          <cell r="KR711" t="str">
            <v>x</v>
          </cell>
        </row>
        <row r="711">
          <cell r="KX711" t="str">
            <v>Y</v>
          </cell>
        </row>
        <row r="711">
          <cell r="LB711" t="str">
            <v>x</v>
          </cell>
          <cell r="LC711" t="str">
            <v>x</v>
          </cell>
          <cell r="LD711" t="str">
            <v>x</v>
          </cell>
          <cell r="LE711" t="str">
            <v>x</v>
          </cell>
          <cell r="LF711" t="str">
            <v>x</v>
          </cell>
        </row>
        <row r="712">
          <cell r="A712" t="str">
            <v>isf-r-711</v>
          </cell>
        </row>
        <row r="712">
          <cell r="C712" t="str">
            <v>MN-044</v>
          </cell>
        </row>
        <row r="712">
          <cell r="E712" t="str">
            <v>1993 Daang Bakal St., Barangay 159 Zone 14, Tondo Manila</v>
          </cell>
        </row>
        <row r="712">
          <cell r="T712" t="str">
            <v>Centeno, Cherry Amor</v>
          </cell>
        </row>
        <row r="712">
          <cell r="BS712" t="str">
            <v>Residential</v>
          </cell>
          <cell r="BT712" t="str">
            <v>Structure Renter</v>
          </cell>
        </row>
        <row r="712">
          <cell r="JR712" t="str">
            <v>Need Displacement</v>
          </cell>
        </row>
        <row r="713">
          <cell r="A713" t="str">
            <v>legal</v>
          </cell>
        </row>
        <row r="713">
          <cell r="C713" t="str">
            <v>MN-045</v>
          </cell>
        </row>
        <row r="713">
          <cell r="E713" t="str">
            <v>1993 Daang Bakal St., Barangay 159 Zone 14, Tondo Manila</v>
          </cell>
        </row>
        <row r="713">
          <cell r="Q713" t="str">
            <v>R</v>
          </cell>
        </row>
        <row r="713">
          <cell r="T713" t="str">
            <v>Escoto, Ligaya</v>
          </cell>
        </row>
        <row r="713">
          <cell r="AS713">
            <v>0.5</v>
          </cell>
        </row>
        <row r="713">
          <cell r="BS713" t="str">
            <v>Residential</v>
          </cell>
          <cell r="BT713" t="str">
            <v>Structure Owner</v>
          </cell>
        </row>
        <row r="713">
          <cell r="JR713" t="str">
            <v>Need Displacement</v>
          </cell>
        </row>
        <row r="713">
          <cell r="KI713" t="str">
            <v>Cash Compensation</v>
          </cell>
        </row>
        <row r="713">
          <cell r="VV713" t="str">
            <v>legal</v>
          </cell>
        </row>
        <row r="714">
          <cell r="A714" t="str">
            <v>isf</v>
          </cell>
        </row>
        <row r="714">
          <cell r="C714" t="str">
            <v>MN-046</v>
          </cell>
        </row>
        <row r="714">
          <cell r="E714" t="str">
            <v>1989-B Daang Bakal St., Barangay 159 Zone 14, Tondo Manila</v>
          </cell>
        </row>
        <row r="714">
          <cell r="Q714" t="str">
            <v>R</v>
          </cell>
        </row>
        <row r="714">
          <cell r="T714" t="str">
            <v>Singalawa, Marilyn</v>
          </cell>
        </row>
        <row r="714">
          <cell r="AS714">
            <v>0.367567567567568</v>
          </cell>
        </row>
        <row r="714">
          <cell r="BS714" t="str">
            <v>Residential</v>
          </cell>
          <cell r="BT714" t="str">
            <v>Structure Owner</v>
          </cell>
        </row>
        <row r="714">
          <cell r="JR714" t="str">
            <v>Can Stay (ACCESS BLOCK)</v>
          </cell>
        </row>
        <row r="715">
          <cell r="A715" t="str">
            <v>isf-r</v>
          </cell>
        </row>
        <row r="715">
          <cell r="C715" t="str">
            <v>MN-047</v>
          </cell>
        </row>
        <row r="715">
          <cell r="E715" t="str">
            <v>1989 Daang Bakal St., Barangay 159 Tayuman, Tondo Manila</v>
          </cell>
        </row>
        <row r="715">
          <cell r="T715" t="str">
            <v>Mortel, Jinel (No SES Details)</v>
          </cell>
        </row>
        <row r="715">
          <cell r="AS715">
            <v>0.152380952380952</v>
          </cell>
        </row>
        <row r="715">
          <cell r="BS715" t="str">
            <v>Residential</v>
          </cell>
          <cell r="BT715" t="str">
            <v>Structure Owner</v>
          </cell>
        </row>
        <row r="715">
          <cell r="JP715">
            <v>7000</v>
          </cell>
        </row>
        <row r="715">
          <cell r="JR715" t="str">
            <v>Can Stay (ACCESS BLOCK)</v>
          </cell>
        </row>
        <row r="716">
          <cell r="A716" t="str">
            <v>isf</v>
          </cell>
        </row>
        <row r="716">
          <cell r="C716" t="str">
            <v>MN-048</v>
          </cell>
        </row>
        <row r="716">
          <cell r="E716" t="str">
            <v>1985 Daang Bakal St., Barangay 159 Tayuman, Tondo Manila</v>
          </cell>
        </row>
        <row r="716">
          <cell r="Q716" t="str">
            <v>R</v>
          </cell>
        </row>
        <row r="716">
          <cell r="T716" t="str">
            <v>Cayabyab, Herminio</v>
          </cell>
        </row>
        <row r="716">
          <cell r="AS716">
            <v>0.130346232179226</v>
          </cell>
        </row>
        <row r="716">
          <cell r="BS716" t="str">
            <v>Residential</v>
          </cell>
          <cell r="BT716" t="str">
            <v>Structure Owner</v>
          </cell>
        </row>
        <row r="716">
          <cell r="JR716" t="str">
            <v>Can Stay (ACCESS BLOCK)</v>
          </cell>
        </row>
        <row r="717">
          <cell r="A717" t="str">
            <v>isf</v>
          </cell>
        </row>
        <row r="717">
          <cell r="C717" t="str">
            <v>MN-049A</v>
          </cell>
        </row>
        <row r="717">
          <cell r="E717" t="str">
            <v>1979 Daang Bakal St., Barangay 159 Tayuman, Tondo Manila</v>
          </cell>
        </row>
        <row r="717">
          <cell r="Q717" t="str">
            <v>R</v>
          </cell>
        </row>
        <row r="717">
          <cell r="T717" t="str">
            <v>Tantay, Robin Rey</v>
          </cell>
        </row>
        <row r="717">
          <cell r="AS717">
            <v>0.375</v>
          </cell>
        </row>
        <row r="717">
          <cell r="BS717" t="str">
            <v>Residential</v>
          </cell>
          <cell r="BT717" t="str">
            <v>Structure Owner</v>
          </cell>
        </row>
        <row r="717">
          <cell r="JR717" t="str">
            <v>Need Displacement</v>
          </cell>
        </row>
        <row r="717">
          <cell r="KI717" t="str">
            <v>Relocation</v>
          </cell>
          <cell r="KJ717" t="str">
            <v>Cavite</v>
          </cell>
        </row>
        <row r="717">
          <cell r="KL717" t="str">
            <v>Cavite</v>
          </cell>
        </row>
        <row r="717">
          <cell r="KR717" t="str">
            <v>x</v>
          </cell>
          <cell r="KS717" t="str">
            <v>x</v>
          </cell>
          <cell r="KT717" t="str">
            <v>x</v>
          </cell>
          <cell r="KU717" t="str">
            <v>x</v>
          </cell>
        </row>
        <row r="717">
          <cell r="KX717" t="str">
            <v>Y</v>
          </cell>
        </row>
        <row r="717">
          <cell r="KZ717" t="str">
            <v>x</v>
          </cell>
          <cell r="LA717" t="str">
            <v>x</v>
          </cell>
          <cell r="LB717" t="str">
            <v>x</v>
          </cell>
          <cell r="LC717" t="str">
            <v>x</v>
          </cell>
          <cell r="LD717" t="str">
            <v>x</v>
          </cell>
          <cell r="LE717" t="str">
            <v>x</v>
          </cell>
          <cell r="LF717" t="str">
            <v>x</v>
          </cell>
        </row>
        <row r="718">
          <cell r="A718" t="str">
            <v>isf-abs-717</v>
          </cell>
        </row>
        <row r="718">
          <cell r="C718" t="str">
            <v>MN-049B</v>
          </cell>
        </row>
        <row r="718">
          <cell r="E718" t="str">
            <v>1979 Daang Bakal St., Barangay 159 Tayuman, Tondo Manila</v>
          </cell>
        </row>
        <row r="718">
          <cell r="Q718" t="str">
            <v>R</v>
          </cell>
        </row>
        <row r="718">
          <cell r="T718" t="str">
            <v>CANNOT BE LOCATED</v>
          </cell>
        </row>
        <row r="718">
          <cell r="BS718" t="str">
            <v>Residential</v>
          </cell>
          <cell r="BT718" t="str">
            <v>Co-owner</v>
          </cell>
        </row>
        <row r="718">
          <cell r="JR718" t="str">
            <v>Need Displacement</v>
          </cell>
        </row>
        <row r="719">
          <cell r="A719" t="str">
            <v>legal</v>
          </cell>
        </row>
        <row r="719">
          <cell r="C719" t="str">
            <v>MN-050</v>
          </cell>
        </row>
        <row r="719">
          <cell r="E719" t="str">
            <v>1985 Daang Bakal St., Barangay 159 Tayuman, Tondo Manila</v>
          </cell>
        </row>
        <row r="719">
          <cell r="Q719" t="str">
            <v>R</v>
          </cell>
        </row>
        <row r="719">
          <cell r="T719" t="str">
            <v>Sergote, Jesus</v>
          </cell>
        </row>
        <row r="719">
          <cell r="AS719">
            <v>0.126582278481013</v>
          </cell>
        </row>
        <row r="719">
          <cell r="BS719" t="str">
            <v>Residential</v>
          </cell>
          <cell r="BT719" t="str">
            <v>Structure Owner</v>
          </cell>
        </row>
        <row r="719">
          <cell r="JR719" t="str">
            <v>Can Stay (ACCESS BLOCK)</v>
          </cell>
        </row>
        <row r="719">
          <cell r="KI719" t="str">
            <v>Relocation</v>
          </cell>
          <cell r="KJ719" t="str">
            <v>Cavite</v>
          </cell>
        </row>
        <row r="719">
          <cell r="KL719" t="str">
            <v>Cavite</v>
          </cell>
        </row>
        <row r="719">
          <cell r="KR719" t="str">
            <v>x</v>
          </cell>
          <cell r="KS719" t="str">
            <v>x</v>
          </cell>
          <cell r="KT719" t="str">
            <v>x</v>
          </cell>
          <cell r="KU719" t="str">
            <v>x</v>
          </cell>
        </row>
        <row r="719">
          <cell r="KX719" t="str">
            <v>Y</v>
          </cell>
        </row>
        <row r="719">
          <cell r="KZ719" t="str">
            <v>x</v>
          </cell>
          <cell r="LA719" t="str">
            <v>x</v>
          </cell>
          <cell r="LB719" t="str">
            <v>x</v>
          </cell>
          <cell r="LC719" t="str">
            <v>x</v>
          </cell>
          <cell r="LD719" t="str">
            <v>x</v>
          </cell>
          <cell r="LE719" t="str">
            <v>x</v>
          </cell>
          <cell r="LF719" t="str">
            <v>x</v>
          </cell>
        </row>
        <row r="719">
          <cell r="VV719" t="str">
            <v>legal</v>
          </cell>
        </row>
        <row r="720">
          <cell r="A720" t="str">
            <v>legal</v>
          </cell>
        </row>
        <row r="720">
          <cell r="C720" t="str">
            <v>MN-051A</v>
          </cell>
        </row>
        <row r="720">
          <cell r="E720" t="str">
            <v>1975 Daang Bakal St., Barangay 159 Tayuman, Tondo Manila</v>
          </cell>
        </row>
        <row r="720">
          <cell r="Q720" t="str">
            <v>R</v>
          </cell>
        </row>
        <row r="720">
          <cell r="T720" t="str">
            <v>Timbang, Fernando</v>
          </cell>
        </row>
        <row r="720">
          <cell r="AS720">
            <v>0.448730964467005</v>
          </cell>
        </row>
        <row r="720">
          <cell r="BS720" t="str">
            <v>Residential</v>
          </cell>
          <cell r="BT720" t="str">
            <v>Structure Owner</v>
          </cell>
        </row>
        <row r="720">
          <cell r="JR720" t="str">
            <v>Need Displacement</v>
          </cell>
        </row>
        <row r="720">
          <cell r="KI720" t="str">
            <v>Relocation and Cash Compensation</v>
          </cell>
        </row>
        <row r="720">
          <cell r="KL720" t="str">
            <v>Northville 5, Brgy Batia, Bocaue Bulacan</v>
          </cell>
        </row>
        <row r="720">
          <cell r="KQ720" t="str">
            <v>x</v>
          </cell>
          <cell r="KR720" t="str">
            <v>x</v>
          </cell>
          <cell r="KS720" t="str">
            <v>x</v>
          </cell>
          <cell r="KT720" t="str">
            <v>x</v>
          </cell>
          <cell r="KU720" t="str">
            <v>x</v>
          </cell>
        </row>
        <row r="720">
          <cell r="KX720" t="str">
            <v>Y</v>
          </cell>
        </row>
        <row r="720">
          <cell r="KZ720" t="str">
            <v>x</v>
          </cell>
        </row>
        <row r="720">
          <cell r="VV720" t="str">
            <v>legal</v>
          </cell>
        </row>
        <row r="721">
          <cell r="A721" t="str">
            <v>legal 720</v>
          </cell>
        </row>
        <row r="721">
          <cell r="C721" t="str">
            <v>MN-051B</v>
          </cell>
        </row>
        <row r="721">
          <cell r="E721" t="str">
            <v>1975 Daang Bakal St., Barangay 159 Tayuman, Tondo Manila</v>
          </cell>
        </row>
        <row r="721">
          <cell r="Q721" t="str">
            <v>R</v>
          </cell>
        </row>
        <row r="721">
          <cell r="T721" t="str">
            <v>Timbang, Charles Fer</v>
          </cell>
        </row>
        <row r="721">
          <cell r="BS721" t="str">
            <v>Residential</v>
          </cell>
          <cell r="BT721" t="str">
            <v>Co-owner</v>
          </cell>
        </row>
        <row r="721">
          <cell r="JR721" t="str">
            <v>Need Displacement</v>
          </cell>
        </row>
        <row r="721">
          <cell r="KI721" t="str">
            <v>Relocation</v>
          </cell>
          <cell r="KJ721" t="str">
            <v>In City</v>
          </cell>
        </row>
        <row r="721">
          <cell r="KL721" t="str">
            <v>Northville 5, Brgy Batia, Bocaue Bulacan</v>
          </cell>
        </row>
        <row r="721">
          <cell r="KR721" t="str">
            <v>x</v>
          </cell>
        </row>
        <row r="721">
          <cell r="KX721" t="str">
            <v>Y</v>
          </cell>
        </row>
        <row r="721">
          <cell r="LB721" t="str">
            <v>x</v>
          </cell>
          <cell r="LC721" t="str">
            <v>x</v>
          </cell>
        </row>
        <row r="721">
          <cell r="LF721" t="str">
            <v>x</v>
          </cell>
        </row>
        <row r="721">
          <cell r="VV721" t="str">
            <v>legal 720</v>
          </cell>
        </row>
        <row r="722">
          <cell r="A722" t="str">
            <v>isf</v>
          </cell>
        </row>
        <row r="722">
          <cell r="C722" t="str">
            <v>MN-052</v>
          </cell>
        </row>
        <row r="722">
          <cell r="E722" t="str">
            <v>1971 Daang Bakal Barangay 159 Zone.15 Tayuman Tondo Manila</v>
          </cell>
        </row>
        <row r="722">
          <cell r="Q722" t="str">
            <v>R</v>
          </cell>
        </row>
        <row r="722">
          <cell r="T722" t="str">
            <v>Ramirez, Aurelia</v>
          </cell>
        </row>
        <row r="722">
          <cell r="AS722">
            <v>0.532206119162641</v>
          </cell>
        </row>
        <row r="722">
          <cell r="BS722" t="str">
            <v>Residential</v>
          </cell>
          <cell r="BT722" t="str">
            <v>Structure Owner</v>
          </cell>
        </row>
        <row r="722">
          <cell r="JR722" t="str">
            <v>Need Displacement</v>
          </cell>
        </row>
        <row r="722">
          <cell r="KI722" t="str">
            <v>No Answer</v>
          </cell>
        </row>
        <row r="723">
          <cell r="A723" t="str">
            <v>isf</v>
          </cell>
        </row>
        <row r="723">
          <cell r="C723" t="str">
            <v>MN-053</v>
          </cell>
        </row>
        <row r="723">
          <cell r="E723" t="str">
            <v>1967 Daang Bakal Barangay 159 Zone.14 Tayuman Tondo Manila</v>
          </cell>
        </row>
        <row r="723">
          <cell r="Q723" t="str">
            <v>R</v>
          </cell>
        </row>
        <row r="723">
          <cell r="T723" t="str">
            <v>Ticar, Mercilita</v>
          </cell>
        </row>
        <row r="723">
          <cell r="AS723">
            <v>0.206185567010309</v>
          </cell>
        </row>
        <row r="723">
          <cell r="BS723" t="str">
            <v>Residential</v>
          </cell>
          <cell r="BT723" t="str">
            <v>Structure Owner</v>
          </cell>
        </row>
        <row r="723">
          <cell r="JR723" t="str">
            <v>Need Displacement</v>
          </cell>
        </row>
        <row r="723">
          <cell r="KI723" t="str">
            <v>Relocation</v>
          </cell>
          <cell r="KJ723" t="str">
            <v>In City</v>
          </cell>
        </row>
        <row r="723">
          <cell r="KL723" t="str">
            <v>Disiplina Village (Brgy Bignay, Valenzuela City)</v>
          </cell>
        </row>
        <row r="723">
          <cell r="KQ723" t="str">
            <v>x</v>
          </cell>
          <cell r="KR723" t="str">
            <v>x</v>
          </cell>
          <cell r="KS723" t="str">
            <v>x</v>
          </cell>
          <cell r="KT723" t="str">
            <v>x</v>
          </cell>
          <cell r="KU723" t="str">
            <v>x</v>
          </cell>
        </row>
        <row r="723">
          <cell r="KX723" t="str">
            <v>Y</v>
          </cell>
        </row>
        <row r="723">
          <cell r="KZ723" t="str">
            <v>x</v>
          </cell>
          <cell r="LA723" t="str">
            <v>x</v>
          </cell>
          <cell r="LB723" t="str">
            <v>x</v>
          </cell>
          <cell r="LC723" t="str">
            <v>x</v>
          </cell>
          <cell r="LD723" t="str">
            <v>x</v>
          </cell>
          <cell r="LE723" t="str">
            <v>x</v>
          </cell>
        </row>
        <row r="724">
          <cell r="A724" t="str">
            <v>isf</v>
          </cell>
        </row>
        <row r="724">
          <cell r="C724" t="str">
            <v>MN-054</v>
          </cell>
        </row>
        <row r="724">
          <cell r="E724" t="str">
            <v>1967 Daang Bakal Barangay 159 Tayuman Tondo Manila</v>
          </cell>
        </row>
        <row r="724">
          <cell r="Q724" t="str">
            <v>R</v>
          </cell>
        </row>
        <row r="724">
          <cell r="T724" t="str">
            <v>Ticar, Rodolfo</v>
          </cell>
        </row>
        <row r="724">
          <cell r="AS724">
            <v>0.6</v>
          </cell>
        </row>
        <row r="724">
          <cell r="BS724" t="str">
            <v>Residential</v>
          </cell>
          <cell r="BT724" t="str">
            <v>Structure Owner</v>
          </cell>
        </row>
        <row r="724">
          <cell r="JR724" t="str">
            <v>Need Displacement</v>
          </cell>
        </row>
        <row r="724">
          <cell r="KI724" t="str">
            <v>Cash Compensation/ Balik Probinsiya Program</v>
          </cell>
        </row>
        <row r="725">
          <cell r="A725" t="str">
            <v>isf</v>
          </cell>
        </row>
        <row r="725">
          <cell r="C725" t="str">
            <v>MN-055</v>
          </cell>
        </row>
        <row r="725">
          <cell r="E725" t="str">
            <v>1963 Daang Bakal Barangay 159 Tayuman Tondo Manila</v>
          </cell>
        </row>
        <row r="725">
          <cell r="Q725" t="str">
            <v>R</v>
          </cell>
        </row>
        <row r="725">
          <cell r="T725" t="str">
            <v>Baltazar, Loreto</v>
          </cell>
        </row>
        <row r="725">
          <cell r="AS725">
            <v>0.05</v>
          </cell>
        </row>
        <row r="725">
          <cell r="BS725" t="str">
            <v>Residential</v>
          </cell>
          <cell r="BT725" t="str">
            <v>Structure Owner</v>
          </cell>
        </row>
        <row r="725">
          <cell r="JR725" t="str">
            <v>Can Stay (ACCESS BLOCK)</v>
          </cell>
        </row>
        <row r="726">
          <cell r="A726" t="str">
            <v>isf</v>
          </cell>
        </row>
        <row r="726">
          <cell r="C726" t="str">
            <v>MN-056</v>
          </cell>
        </row>
        <row r="726">
          <cell r="E726" t="str">
            <v>1962 Daang Bakal Barangay 159 Tayuman Tondo Manila</v>
          </cell>
        </row>
        <row r="726">
          <cell r="Q726" t="str">
            <v>R</v>
          </cell>
        </row>
        <row r="726">
          <cell r="T726" t="str">
            <v>Santos, Soledad Bersamina</v>
          </cell>
        </row>
        <row r="726">
          <cell r="AS726">
            <v>1</v>
          </cell>
        </row>
        <row r="726">
          <cell r="BS726" t="str">
            <v>Residential</v>
          </cell>
          <cell r="BT726" t="str">
            <v>Structure Owner</v>
          </cell>
        </row>
        <row r="726">
          <cell r="VV726" t="str">
            <v>isf</v>
          </cell>
        </row>
        <row r="727">
          <cell r="A727" t="str">
            <v>isf</v>
          </cell>
        </row>
        <row r="727">
          <cell r="C727" t="str">
            <v>MN-057</v>
          </cell>
        </row>
        <row r="727">
          <cell r="E727" t="str">
            <v>1959 Daang Bakal Barangay 159 Tayuman Tondo Manila</v>
          </cell>
        </row>
        <row r="727">
          <cell r="Q727" t="str">
            <v>R</v>
          </cell>
        </row>
        <row r="727">
          <cell r="T727" t="str">
            <v>Nartea, Marita Dela Paz</v>
          </cell>
        </row>
        <row r="727">
          <cell r="AS727">
            <v>1</v>
          </cell>
        </row>
        <row r="727">
          <cell r="BS727" t="str">
            <v>Residential</v>
          </cell>
          <cell r="BT727" t="str">
            <v>Structure Owner</v>
          </cell>
        </row>
        <row r="727">
          <cell r="VV727" t="str">
            <v>isf</v>
          </cell>
        </row>
        <row r="728">
          <cell r="A728" t="str">
            <v>isf</v>
          </cell>
        </row>
        <row r="728">
          <cell r="C728" t="str">
            <v>MN-058</v>
          </cell>
        </row>
        <row r="728">
          <cell r="E728" t="str">
            <v>1951 Daang Bakal Barangay 159 Tayuman Tondo Manila</v>
          </cell>
        </row>
        <row r="728">
          <cell r="Q728" t="str">
            <v>R</v>
          </cell>
        </row>
        <row r="728">
          <cell r="T728" t="str">
            <v>Ubusan, Roseanna Macatngay</v>
          </cell>
        </row>
        <row r="728">
          <cell r="AS728">
            <v>0.166666666666667</v>
          </cell>
        </row>
        <row r="728">
          <cell r="BS728" t="str">
            <v>Residential</v>
          </cell>
          <cell r="BT728" t="str">
            <v>Structure Owner</v>
          </cell>
        </row>
        <row r="728">
          <cell r="JR728" t="str">
            <v>Can Stay (ACCESS BLOCK)</v>
          </cell>
        </row>
        <row r="728">
          <cell r="VV728" t="str">
            <v>isf</v>
          </cell>
        </row>
        <row r="729">
          <cell r="A729" t="str">
            <v>legal</v>
          </cell>
        </row>
        <row r="729">
          <cell r="C729" t="str">
            <v>MN-059</v>
          </cell>
        </row>
        <row r="729">
          <cell r="E729" t="str">
            <v>1951 Daang Bakal Barangay 159 Tayuman Tondo Manila</v>
          </cell>
        </row>
        <row r="729">
          <cell r="Q729" t="str">
            <v>R</v>
          </cell>
        </row>
        <row r="729">
          <cell r="T729" t="str">
            <v>Austria, Encarnacion Laluan</v>
          </cell>
        </row>
        <row r="729">
          <cell r="AS729">
            <v>0.666666666666667</v>
          </cell>
        </row>
        <row r="729">
          <cell r="BS729" t="str">
            <v>Residential</v>
          </cell>
          <cell r="BT729" t="str">
            <v>Structure Owner</v>
          </cell>
        </row>
        <row r="729">
          <cell r="VV729" t="str">
            <v>legal</v>
          </cell>
        </row>
        <row r="730">
          <cell r="A730" t="str">
            <v>legal</v>
          </cell>
        </row>
        <row r="730">
          <cell r="C730" t="str">
            <v>MN-060</v>
          </cell>
        </row>
        <row r="730">
          <cell r="E730" t="str">
            <v>1947 Daang Bakal Barangay 159 Tayuman Tondo Manila</v>
          </cell>
        </row>
        <row r="730">
          <cell r="Q730" t="str">
            <v>R</v>
          </cell>
        </row>
        <row r="730">
          <cell r="T730" t="str">
            <v>Villareal, Mercedes Ignacio</v>
          </cell>
        </row>
        <row r="730">
          <cell r="AS730">
            <v>1</v>
          </cell>
        </row>
        <row r="730">
          <cell r="BS730" t="str">
            <v>Residential</v>
          </cell>
          <cell r="BT730" t="str">
            <v>Structure Owner</v>
          </cell>
        </row>
        <row r="730">
          <cell r="VV730" t="str">
            <v>legal</v>
          </cell>
        </row>
        <row r="731">
          <cell r="A731" t="str">
            <v>ISF</v>
          </cell>
        </row>
        <row r="731">
          <cell r="C731" t="str">
            <v>MN-061</v>
          </cell>
        </row>
        <row r="731">
          <cell r="E731" t="str">
            <v>1943 Daang Bakal Barangay 159 Tayuman Tondo Manila</v>
          </cell>
        </row>
        <row r="731">
          <cell r="Q731" t="str">
            <v>R</v>
          </cell>
        </row>
        <row r="731">
          <cell r="T731" t="str">
            <v>Guevarra, Redentor</v>
          </cell>
        </row>
        <row r="731">
          <cell r="AS731">
            <v>0.100490196078431</v>
          </cell>
        </row>
        <row r="731">
          <cell r="BS731" t="str">
            <v>Residential</v>
          </cell>
          <cell r="BT731" t="str">
            <v>Structure Owner</v>
          </cell>
        </row>
        <row r="731">
          <cell r="JR731" t="str">
            <v>Can Stay</v>
          </cell>
        </row>
        <row r="731">
          <cell r="KG731">
            <v>4000</v>
          </cell>
        </row>
        <row r="732">
          <cell r="A732" t="str">
            <v>isf-r-731</v>
          </cell>
        </row>
        <row r="732">
          <cell r="C732" t="str">
            <v>MN-061</v>
          </cell>
        </row>
        <row r="732">
          <cell r="E732" t="str">
            <v>1943 Daang Bakal Barangay 159 Tayuman Tondo Manila</v>
          </cell>
        </row>
        <row r="732">
          <cell r="T732" t="str">
            <v>Orea, Candy</v>
          </cell>
        </row>
        <row r="732">
          <cell r="BS732" t="str">
            <v>Residential</v>
          </cell>
          <cell r="BT732" t="str">
            <v>Structure Renter</v>
          </cell>
        </row>
        <row r="732">
          <cell r="JP732">
            <v>700</v>
          </cell>
        </row>
        <row r="732">
          <cell r="JR732" t="str">
            <v>Can Stay</v>
          </cell>
        </row>
        <row r="733">
          <cell r="A733" t="str">
            <v>isf-r-731</v>
          </cell>
        </row>
        <row r="733">
          <cell r="C733" t="str">
            <v>MN-061</v>
          </cell>
        </row>
        <row r="733">
          <cell r="E733" t="str">
            <v>1943 Daang Bakal Barangay 159 Tayuman Tondo Manila</v>
          </cell>
        </row>
        <row r="733">
          <cell r="T733" t="str">
            <v>De Lara, Herminia</v>
          </cell>
        </row>
        <row r="733">
          <cell r="BS733" t="str">
            <v>Residential</v>
          </cell>
          <cell r="BT733" t="str">
            <v>Structure Renter</v>
          </cell>
        </row>
        <row r="733">
          <cell r="JP733">
            <v>500</v>
          </cell>
        </row>
        <row r="733">
          <cell r="JR733" t="str">
            <v>Can Stay</v>
          </cell>
        </row>
        <row r="734">
          <cell r="A734" t="str">
            <v>isf-r-731</v>
          </cell>
        </row>
        <row r="734">
          <cell r="C734" t="str">
            <v>MN-061</v>
          </cell>
        </row>
        <row r="734">
          <cell r="E734" t="str">
            <v>1943 Daang Bakal Barangay 159 Tayuman Tondo Manila</v>
          </cell>
        </row>
        <row r="734">
          <cell r="T734" t="str">
            <v>De Lara, Rowena</v>
          </cell>
        </row>
        <row r="734">
          <cell r="BS734" t="str">
            <v>Residential</v>
          </cell>
          <cell r="BT734" t="str">
            <v>Structure Renter</v>
          </cell>
        </row>
        <row r="734">
          <cell r="JP734">
            <v>3000</v>
          </cell>
        </row>
        <row r="734">
          <cell r="JR734" t="str">
            <v>Need Displacement</v>
          </cell>
        </row>
        <row r="735">
          <cell r="A735" t="str">
            <v>legal</v>
          </cell>
        </row>
        <row r="735">
          <cell r="C735" t="str">
            <v>MN-062</v>
          </cell>
        </row>
        <row r="735">
          <cell r="E735" t="str">
            <v>1937 Daang Bakal Barangay 159 Zone 14 Tayuman Tondo Manila</v>
          </cell>
        </row>
        <row r="735">
          <cell r="Q735" t="str">
            <v>R</v>
          </cell>
        </row>
        <row r="735">
          <cell r="T735" t="str">
            <v>Flores, Aurora Salud</v>
          </cell>
        </row>
        <row r="735">
          <cell r="AS735">
            <v>0.0333333333333333</v>
          </cell>
        </row>
        <row r="735">
          <cell r="BS735" t="str">
            <v>Residential</v>
          </cell>
          <cell r="BT735" t="str">
            <v>Structure Owner</v>
          </cell>
        </row>
        <row r="735">
          <cell r="VV735" t="str">
            <v>legal</v>
          </cell>
        </row>
        <row r="736">
          <cell r="A736" t="str">
            <v>legal</v>
          </cell>
        </row>
        <row r="736">
          <cell r="C736" t="str">
            <v>MN-063</v>
          </cell>
        </row>
        <row r="736">
          <cell r="E736" t="str">
            <v>1937 Daang Bakal Barangay 159 Zone 14 Tayuman Tondo Manila</v>
          </cell>
        </row>
        <row r="736">
          <cell r="Q736" t="str">
            <v>R</v>
          </cell>
        </row>
        <row r="736">
          <cell r="T736" t="str">
            <v>Flores, Margarita</v>
          </cell>
        </row>
        <row r="736">
          <cell r="AS736">
            <v>0.0666666666666667</v>
          </cell>
        </row>
        <row r="736">
          <cell r="BS736" t="str">
            <v>Residential</v>
          </cell>
          <cell r="BT736" t="str">
            <v>Structure Owner</v>
          </cell>
        </row>
        <row r="736">
          <cell r="VV736" t="str">
            <v>legal</v>
          </cell>
        </row>
        <row r="737">
          <cell r="A737" t="str">
            <v>isf</v>
          </cell>
        </row>
        <row r="737">
          <cell r="C737" t="str">
            <v>MN-064</v>
          </cell>
        </row>
        <row r="737">
          <cell r="E737" t="str">
            <v>1929 Daang Bakal Barangay 156 Tayuman, Tondo Manila</v>
          </cell>
        </row>
        <row r="737">
          <cell r="Q737" t="str">
            <v>R</v>
          </cell>
        </row>
        <row r="737">
          <cell r="T737" t="str">
            <v>Halili, Johnbert</v>
          </cell>
        </row>
        <row r="737">
          <cell r="AS737">
            <v>0.266666666666667</v>
          </cell>
        </row>
        <row r="737">
          <cell r="BS737" t="str">
            <v>Residential</v>
          </cell>
          <cell r="BT737" t="str">
            <v>Structure Owner</v>
          </cell>
        </row>
        <row r="737">
          <cell r="JR737" t="str">
            <v>Need Displacement</v>
          </cell>
        </row>
        <row r="737">
          <cell r="KI737" t="str">
            <v>Cash Compensation/ Balik Probinsiya Program</v>
          </cell>
        </row>
        <row r="738">
          <cell r="A738" t="str">
            <v>legal</v>
          </cell>
        </row>
        <row r="738">
          <cell r="C738" t="str">
            <v>MN-065</v>
          </cell>
        </row>
        <row r="738">
          <cell r="E738" t="str">
            <v>1913 Daang Bakal, Dagupan Ext., Barangay 156 Tayuman, Tondo Manila</v>
          </cell>
        </row>
        <row r="738">
          <cell r="Q738" t="str">
            <v>R</v>
          </cell>
        </row>
        <row r="738">
          <cell r="T738" t="str">
            <v>Fernandez, Teresita</v>
          </cell>
        </row>
        <row r="738">
          <cell r="AS738">
            <v>0.125</v>
          </cell>
        </row>
        <row r="738">
          <cell r="BS738" t="str">
            <v>Residential</v>
          </cell>
          <cell r="BT738" t="str">
            <v>Structure Owner</v>
          </cell>
        </row>
        <row r="738">
          <cell r="JR738" t="str">
            <v>Can Stay (ACCESS BLOCK)</v>
          </cell>
        </row>
        <row r="738">
          <cell r="KG738">
            <v>3500</v>
          </cell>
        </row>
        <row r="738">
          <cell r="VV738" t="str">
            <v>legal</v>
          </cell>
        </row>
        <row r="739">
          <cell r="A739" t="str">
            <v>legal 738</v>
          </cell>
        </row>
        <row r="739">
          <cell r="C739" t="str">
            <v>MN-065</v>
          </cell>
        </row>
        <row r="739">
          <cell r="E739" t="str">
            <v>1913 Daang Bakal, Dagupan Ext., Barangay 156 Tayuman, Tondo Manila</v>
          </cell>
        </row>
        <row r="739">
          <cell r="T739" t="str">
            <v>Dimalanta, Delia</v>
          </cell>
        </row>
        <row r="739">
          <cell r="BS739" t="str">
            <v>Residential</v>
          </cell>
          <cell r="BT739" t="str">
            <v>Caretaker</v>
          </cell>
        </row>
        <row r="739">
          <cell r="JR739" t="str">
            <v>Can Stay (ACCESS BLOCK)</v>
          </cell>
        </row>
        <row r="739">
          <cell r="VV739" t="str">
            <v>legal 738</v>
          </cell>
        </row>
        <row r="740">
          <cell r="A740" t="str">
            <v>legal-r 738</v>
          </cell>
        </row>
        <row r="740">
          <cell r="C740" t="str">
            <v>MN-065</v>
          </cell>
        </row>
        <row r="740">
          <cell r="E740" t="str">
            <v>1913 Daang Bakal, Dagupan Ext., Barangay 156 Tayuman, Tondo Manila</v>
          </cell>
        </row>
        <row r="740">
          <cell r="T740" t="str">
            <v>Endulas, Ignacio</v>
          </cell>
        </row>
        <row r="740">
          <cell r="BS740" t="str">
            <v>Residential</v>
          </cell>
          <cell r="BT740" t="str">
            <v>Structure Renter</v>
          </cell>
        </row>
        <row r="740">
          <cell r="JP740">
            <v>700</v>
          </cell>
        </row>
        <row r="740">
          <cell r="JR740" t="str">
            <v>Can Stay (ACCESS BLOCK)</v>
          </cell>
        </row>
        <row r="740">
          <cell r="VV740" t="str">
            <v>legal-r 738</v>
          </cell>
        </row>
        <row r="741">
          <cell r="A741" t="str">
            <v>legal</v>
          </cell>
        </row>
        <row r="741">
          <cell r="C741" t="str">
            <v>MN-066</v>
          </cell>
        </row>
        <row r="741">
          <cell r="E741" t="str">
            <v>1913 Daang Bakal, Dagupan Ext., Barangay 156 Tayuman, Tondo Manila</v>
          </cell>
        </row>
        <row r="741">
          <cell r="Q741" t="str">
            <v>R</v>
          </cell>
        </row>
        <row r="741">
          <cell r="T741" t="str">
            <v>Ocampo, Efren</v>
          </cell>
        </row>
        <row r="741">
          <cell r="AS741">
            <v>0.0608108108108108</v>
          </cell>
        </row>
        <row r="741">
          <cell r="BS741" t="str">
            <v>Residential</v>
          </cell>
          <cell r="BT741" t="str">
            <v>Structure Owner</v>
          </cell>
        </row>
        <row r="741">
          <cell r="JR741" t="str">
            <v>Can Stay</v>
          </cell>
        </row>
        <row r="741">
          <cell r="KG741">
            <v>1500</v>
          </cell>
        </row>
        <row r="741">
          <cell r="VV741" t="str">
            <v>legal</v>
          </cell>
        </row>
        <row r="742">
          <cell r="A742" t="str">
            <v>legal-r 741</v>
          </cell>
        </row>
        <row r="742">
          <cell r="C742" t="str">
            <v>MN-066</v>
          </cell>
        </row>
        <row r="742">
          <cell r="E742" t="str">
            <v>1913 Daang Bakal, Dagupan Ext., Barangay 156 Tayuman, Tondo Manila</v>
          </cell>
        </row>
        <row r="742">
          <cell r="T742" t="str">
            <v>Ovejos, John Ferson</v>
          </cell>
        </row>
        <row r="742">
          <cell r="BS742" t="str">
            <v>Residential</v>
          </cell>
          <cell r="BT742" t="str">
            <v>Structure Renter</v>
          </cell>
        </row>
        <row r="742">
          <cell r="JP742">
            <v>3000</v>
          </cell>
        </row>
        <row r="742">
          <cell r="JR742" t="str">
            <v>Can Stay</v>
          </cell>
        </row>
        <row r="742">
          <cell r="VV742" t="str">
            <v>legal-r 741</v>
          </cell>
        </row>
        <row r="743">
          <cell r="A743" t="str">
            <v>legal</v>
          </cell>
        </row>
        <row r="743">
          <cell r="C743" t="str">
            <v>MN-067</v>
          </cell>
        </row>
        <row r="743">
          <cell r="E743" t="str">
            <v>1913 Daang Bakal, Dagupan Ext., Barangay 156 Tayuman, Tondo Manila</v>
          </cell>
        </row>
        <row r="743">
          <cell r="Q743" t="str">
            <v>R</v>
          </cell>
        </row>
        <row r="743">
          <cell r="T743" t="str">
            <v>Sevilla, Nelson Jr</v>
          </cell>
        </row>
        <row r="743">
          <cell r="BS743" t="str">
            <v>Residential</v>
          </cell>
          <cell r="BT743" t="str">
            <v>Structure Owner</v>
          </cell>
        </row>
        <row r="743">
          <cell r="JR743" t="str">
            <v>Can Stay</v>
          </cell>
        </row>
        <row r="743">
          <cell r="VV743" t="str">
            <v>legal</v>
          </cell>
        </row>
        <row r="744">
          <cell r="A744" t="str">
            <v>isf</v>
          </cell>
        </row>
        <row r="744">
          <cell r="C744" t="str">
            <v>MN-068</v>
          </cell>
        </row>
        <row r="744">
          <cell r="E744" t="str">
            <v>1915 Daang Bakal, Dagupan Ext., Barangay 156 Tayuman, Tondo Manila</v>
          </cell>
        </row>
        <row r="744">
          <cell r="Q744" t="str">
            <v>R</v>
          </cell>
        </row>
        <row r="744">
          <cell r="T744" t="str">
            <v>Roxas, Teresita</v>
          </cell>
        </row>
        <row r="744">
          <cell r="AS744">
            <v>0.52</v>
          </cell>
        </row>
        <row r="744">
          <cell r="BS744" t="str">
            <v>Residential</v>
          </cell>
          <cell r="BT744" t="str">
            <v>Structure Owner</v>
          </cell>
        </row>
        <row r="744">
          <cell r="JR744" t="str">
            <v>Need Displacement</v>
          </cell>
        </row>
        <row r="744">
          <cell r="KI744" t="str">
            <v>Relocation</v>
          </cell>
        </row>
        <row r="744">
          <cell r="KL744" t="str">
            <v>Pandi Residences (Brgy. Mapulang Lupa, Pandi, Bulacan)</v>
          </cell>
        </row>
        <row r="744">
          <cell r="KR744" t="str">
            <v>x</v>
          </cell>
          <cell r="KS744" t="str">
            <v>x</v>
          </cell>
        </row>
        <row r="744">
          <cell r="KX744" t="str">
            <v>Y</v>
          </cell>
        </row>
        <row r="744">
          <cell r="KZ744" t="str">
            <v>x</v>
          </cell>
          <cell r="LA744" t="str">
            <v>x</v>
          </cell>
          <cell r="LB744" t="str">
            <v>x</v>
          </cell>
        </row>
        <row r="744">
          <cell r="LD744" t="str">
            <v>x</v>
          </cell>
          <cell r="LE744" t="str">
            <v>x</v>
          </cell>
        </row>
        <row r="745">
          <cell r="A745" t="str">
            <v>isf</v>
          </cell>
        </row>
        <row r="745">
          <cell r="C745" t="str">
            <v>MN-069</v>
          </cell>
        </row>
        <row r="745">
          <cell r="E745" t="str">
            <v>1913 Daang Bakal, Dagupan Ext., Barangay 156 Tayuman, Tondo Manila</v>
          </cell>
        </row>
        <row r="745">
          <cell r="Q745" t="str">
            <v>R</v>
          </cell>
        </row>
        <row r="745">
          <cell r="T745" t="str">
            <v>Uson, Ramon</v>
          </cell>
        </row>
        <row r="745">
          <cell r="AS745">
            <v>0.0576923076923077</v>
          </cell>
        </row>
        <row r="745">
          <cell r="BS745" t="str">
            <v>Residential</v>
          </cell>
          <cell r="BT745" t="str">
            <v>Structure Owner</v>
          </cell>
        </row>
        <row r="745">
          <cell r="JR745" t="str">
            <v>Can Stay (ACCESS BLOCK)</v>
          </cell>
        </row>
        <row r="746">
          <cell r="A746" t="str">
            <v>isf</v>
          </cell>
        </row>
        <row r="746">
          <cell r="C746" t="str">
            <v>MN-070</v>
          </cell>
        </row>
        <row r="746">
          <cell r="E746" t="str">
            <v>1909 Daang Bakal, Dagupan Ext., Barangay 156 Tayuman, Tondo Manila</v>
          </cell>
        </row>
        <row r="746">
          <cell r="Q746" t="str">
            <v>R</v>
          </cell>
        </row>
        <row r="746">
          <cell r="T746" t="str">
            <v>Holgado, Lilia</v>
          </cell>
        </row>
        <row r="746">
          <cell r="AS746">
            <v>0.0980392156862745</v>
          </cell>
        </row>
        <row r="746">
          <cell r="BS746" t="str">
            <v>Residential</v>
          </cell>
          <cell r="BT746" t="str">
            <v>Structure Owner</v>
          </cell>
        </row>
        <row r="746">
          <cell r="JR746" t="str">
            <v>Need Displacement</v>
          </cell>
        </row>
        <row r="746">
          <cell r="KI746" t="str">
            <v>Cash Compensation</v>
          </cell>
        </row>
        <row r="747">
          <cell r="A747" t="str">
            <v>isf</v>
          </cell>
        </row>
        <row r="747">
          <cell r="C747" t="str">
            <v>MN-071</v>
          </cell>
        </row>
        <row r="747">
          <cell r="E747" t="str">
            <v>1905 Daang Bakal, Dagupan Ext., Barangay 156 Tayuman, Tondo Manila</v>
          </cell>
        </row>
        <row r="747">
          <cell r="Q747" t="str">
            <v>R</v>
          </cell>
        </row>
        <row r="747">
          <cell r="T747" t="str">
            <v>Guevarra, Efren</v>
          </cell>
        </row>
        <row r="747">
          <cell r="AS747">
            <v>0.136</v>
          </cell>
        </row>
        <row r="747">
          <cell r="BS747" t="str">
            <v>Residential</v>
          </cell>
          <cell r="BT747" t="str">
            <v>Structure Owner</v>
          </cell>
        </row>
        <row r="747">
          <cell r="JR747" t="str">
            <v>Need Displacement</v>
          </cell>
        </row>
        <row r="748">
          <cell r="A748" t="str">
            <v>isf</v>
          </cell>
        </row>
        <row r="748">
          <cell r="C748" t="str">
            <v>MN-072</v>
          </cell>
        </row>
        <row r="748">
          <cell r="E748" t="str">
            <v>1905 Daang Bakal, Dagupan Ext., Barangay 156 Tayuman, Tondo Manila</v>
          </cell>
        </row>
        <row r="748">
          <cell r="Q748" t="str">
            <v>R</v>
          </cell>
        </row>
        <row r="748">
          <cell r="T748" t="str">
            <v>Guevarra, Eleazar</v>
          </cell>
        </row>
        <row r="748">
          <cell r="AS748">
            <v>0.157142857142857</v>
          </cell>
        </row>
        <row r="748">
          <cell r="BS748" t="str">
            <v>Residential</v>
          </cell>
          <cell r="BT748" t="str">
            <v>Structure Owner</v>
          </cell>
        </row>
        <row r="748">
          <cell r="JR748" t="str">
            <v>Can Stay (ACCESS BLOCK)</v>
          </cell>
        </row>
        <row r="749">
          <cell r="A749" t="str">
            <v>isf</v>
          </cell>
        </row>
        <row r="749">
          <cell r="C749" t="str">
            <v>MN-073</v>
          </cell>
        </row>
        <row r="749">
          <cell r="E749" t="str">
            <v>Daang Bakal, Dagupan Ext., Barangay 156 Tayuman, Tondo Manila</v>
          </cell>
        </row>
        <row r="749">
          <cell r="BS749" t="str">
            <v>Residential</v>
          </cell>
          <cell r="BT749" t="str">
            <v>Structure Owner</v>
          </cell>
        </row>
        <row r="749">
          <cell r="VV749" t="str">
            <v>isf</v>
          </cell>
        </row>
        <row r="750">
          <cell r="A750" t="str">
            <v>isf</v>
          </cell>
        </row>
        <row r="750">
          <cell r="C750" t="str">
            <v>MN-074</v>
          </cell>
        </row>
        <row r="750">
          <cell r="E750" t="str">
            <v>1901 Daang Bakal, Dagupan Ext., Barangay 156 Tayuman, Tondo Manila</v>
          </cell>
        </row>
        <row r="750">
          <cell r="T750" t="str">
            <v>Marzalado, Maria Paz</v>
          </cell>
        </row>
        <row r="750">
          <cell r="AS750">
            <v>0.666666666666667</v>
          </cell>
        </row>
        <row r="750">
          <cell r="BS750" t="str">
            <v>Residential</v>
          </cell>
          <cell r="BT750" t="str">
            <v>Structure Owner</v>
          </cell>
        </row>
        <row r="750">
          <cell r="JR750" t="str">
            <v>Need Displacement</v>
          </cell>
        </row>
        <row r="750">
          <cell r="KI750" t="str">
            <v>Relocation</v>
          </cell>
          <cell r="KJ750" t="str">
            <v>Bulacan</v>
          </cell>
        </row>
        <row r="750">
          <cell r="KL750" t="str">
            <v>Pandi Residences (Brgy. Mapulang Lupa, Pandi, Bulacan)</v>
          </cell>
        </row>
        <row r="750">
          <cell r="KQ750" t="str">
            <v>x</v>
          </cell>
        </row>
        <row r="750">
          <cell r="KX750" t="str">
            <v>Y</v>
          </cell>
        </row>
        <row r="750">
          <cell r="KZ750" t="str">
            <v>x</v>
          </cell>
        </row>
        <row r="750">
          <cell r="LC750" t="str">
            <v>x</v>
          </cell>
        </row>
        <row r="750">
          <cell r="LE750" t="str">
            <v>x</v>
          </cell>
        </row>
        <row r="751">
          <cell r="A751" t="str">
            <v>isf</v>
          </cell>
        </row>
        <row r="751">
          <cell r="C751" t="str">
            <v>MN-075</v>
          </cell>
        </row>
        <row r="751">
          <cell r="E751" t="str">
            <v>Barangay 156 Tayuman, Tondo Manila</v>
          </cell>
        </row>
        <row r="751">
          <cell r="T751" t="str">
            <v>CANNOT BE LOCATED</v>
          </cell>
        </row>
        <row r="751">
          <cell r="AS751">
            <v>0.08</v>
          </cell>
        </row>
        <row r="751">
          <cell r="BS751" t="str">
            <v>Residential</v>
          </cell>
          <cell r="BT751" t="str">
            <v>Structure Owner</v>
          </cell>
        </row>
        <row r="751">
          <cell r="JR751" t="str">
            <v>Can Stay</v>
          </cell>
        </row>
        <row r="752">
          <cell r="A752" t="str">
            <v>legal</v>
          </cell>
        </row>
        <row r="752">
          <cell r="C752" t="str">
            <v>MN-076</v>
          </cell>
        </row>
        <row r="752">
          <cell r="E752" t="str">
            <v>Barangay 53 Tayuman, Tondo Manila</v>
          </cell>
        </row>
        <row r="752">
          <cell r="AS752">
            <v>0.4</v>
          </cell>
        </row>
        <row r="752">
          <cell r="BS752" t="str">
            <v>Industrial</v>
          </cell>
          <cell r="BT752" t="str">
            <v>Structure Owner</v>
          </cell>
        </row>
        <row r="752">
          <cell r="VV752" t="str">
            <v>legal</v>
          </cell>
        </row>
        <row r="753">
          <cell r="A753" t="str">
            <v>legal</v>
          </cell>
        </row>
        <row r="753">
          <cell r="C753" t="str">
            <v>MN-077</v>
          </cell>
        </row>
        <row r="753">
          <cell r="E753" t="str">
            <v>Barangay 53 Tayuman, Tondo Manila</v>
          </cell>
        </row>
        <row r="753">
          <cell r="AS753">
            <v>1</v>
          </cell>
        </row>
        <row r="753">
          <cell r="BS753" t="str">
            <v>Institutional</v>
          </cell>
          <cell r="BT753" t="str">
            <v>Structure Owner</v>
          </cell>
        </row>
        <row r="753">
          <cell r="VV753" t="str">
            <v>legal</v>
          </cell>
        </row>
        <row r="754">
          <cell r="A754" t="str">
            <v>legal</v>
          </cell>
        </row>
        <row r="754">
          <cell r="C754" t="str">
            <v>MN-078</v>
          </cell>
        </row>
        <row r="754">
          <cell r="E754" t="str">
            <v>Barangay 50 Tayuman, Tondo Manila</v>
          </cell>
        </row>
        <row r="754">
          <cell r="AS754">
            <v>0.646551724137931</v>
          </cell>
        </row>
        <row r="754">
          <cell r="BS754" t="str">
            <v>Institutional</v>
          </cell>
          <cell r="BT754" t="str">
            <v>Structure Owner</v>
          </cell>
        </row>
        <row r="754">
          <cell r="VV754" t="str">
            <v>legal</v>
          </cell>
        </row>
        <row r="755">
          <cell r="A755" t="str">
            <v>legal</v>
          </cell>
        </row>
        <row r="755">
          <cell r="C755" t="str">
            <v>MN-079</v>
          </cell>
        </row>
        <row r="755">
          <cell r="E755" t="str">
            <v>Barangay 50 Tayuman, Tondo Manila</v>
          </cell>
        </row>
        <row r="755">
          <cell r="AS755">
            <v>0.4</v>
          </cell>
        </row>
        <row r="755">
          <cell r="BS755" t="str">
            <v>Institutional</v>
          </cell>
          <cell r="BT755" t="str">
            <v>Structure Owner</v>
          </cell>
        </row>
        <row r="755">
          <cell r="VV755" t="str">
            <v>legal</v>
          </cell>
        </row>
        <row r="756">
          <cell r="A756" t="str">
            <v>legal</v>
          </cell>
        </row>
        <row r="756">
          <cell r="C756" t="str">
            <v>MN-080</v>
          </cell>
        </row>
        <row r="756">
          <cell r="E756" t="str">
            <v>Barangay 51 Tayuman, Tondo Manila</v>
          </cell>
        </row>
        <row r="756">
          <cell r="AS756">
            <v>1</v>
          </cell>
        </row>
        <row r="756">
          <cell r="BS756" t="str">
            <v>Institutional</v>
          </cell>
          <cell r="BT756" t="str">
            <v>Structure Owner</v>
          </cell>
        </row>
        <row r="756">
          <cell r="VV756" t="str">
            <v>legal</v>
          </cell>
        </row>
        <row r="757">
          <cell r="A757" t="str">
            <v>legal</v>
          </cell>
        </row>
        <row r="757">
          <cell r="C757" t="str">
            <v>MN-081</v>
          </cell>
        </row>
        <row r="757">
          <cell r="E757" t="str">
            <v>Barangay 51 Tayuman, Tondo Manila</v>
          </cell>
        </row>
        <row r="757">
          <cell r="AS757">
            <v>0.174461028192371</v>
          </cell>
        </row>
        <row r="757">
          <cell r="BS757" t="str">
            <v>Institutional</v>
          </cell>
          <cell r="BT757" t="str">
            <v>Structure Owner</v>
          </cell>
        </row>
        <row r="757">
          <cell r="VV757" t="str">
            <v>legal</v>
          </cell>
        </row>
        <row r="758">
          <cell r="A758" t="str">
            <v>legal</v>
          </cell>
        </row>
        <row r="758">
          <cell r="C758" t="str">
            <v>MN-082</v>
          </cell>
        </row>
        <row r="758">
          <cell r="E758" t="str">
            <v>Barangay 51 Tayuman, Tondo Manila</v>
          </cell>
        </row>
        <row r="758">
          <cell r="Q758" t="str">
            <v>L</v>
          </cell>
        </row>
        <row r="758">
          <cell r="AS758">
            <v>1</v>
          </cell>
        </row>
        <row r="758">
          <cell r="BS758" t="str">
            <v>Institutional</v>
          </cell>
          <cell r="BT758" t="str">
            <v>Structure Owner</v>
          </cell>
        </row>
        <row r="758">
          <cell r="VV758" t="str">
            <v>legal</v>
          </cell>
        </row>
        <row r="759">
          <cell r="A759" t="str">
            <v>legal</v>
          </cell>
        </row>
        <row r="759">
          <cell r="C759" t="str">
            <v>MN-083</v>
          </cell>
        </row>
        <row r="759">
          <cell r="E759" t="str">
            <v>Barangay 51 Tayuman, Tondo Manila</v>
          </cell>
        </row>
        <row r="759">
          <cell r="AS759">
            <v>0.776119402985075</v>
          </cell>
        </row>
        <row r="759">
          <cell r="BS759" t="str">
            <v>Commercial</v>
          </cell>
          <cell r="BT759" t="str">
            <v>Structure Owner</v>
          </cell>
        </row>
        <row r="759">
          <cell r="VV759" t="str">
            <v>legal</v>
          </cell>
        </row>
        <row r="760">
          <cell r="A760" t="str">
            <v>isf</v>
          </cell>
        </row>
        <row r="760">
          <cell r="C760" t="str">
            <v>MN-084</v>
          </cell>
        </row>
        <row r="760">
          <cell r="E760" t="str">
            <v>3192 Interior.42 Pilar St., Barangay 199 Zone.18 Tondo Manila</v>
          </cell>
        </row>
        <row r="760">
          <cell r="Q760" t="str">
            <v>R</v>
          </cell>
        </row>
        <row r="760">
          <cell r="T760" t="str">
            <v>Villanueva, Roberto</v>
          </cell>
        </row>
        <row r="760">
          <cell r="AS760">
            <v>0.55</v>
          </cell>
        </row>
        <row r="760">
          <cell r="BS760" t="str">
            <v>Residential</v>
          </cell>
          <cell r="BT760" t="str">
            <v>Structure Owner</v>
          </cell>
        </row>
        <row r="760">
          <cell r="JR760" t="str">
            <v>Need Displacement</v>
          </cell>
        </row>
        <row r="760">
          <cell r="KI760" t="str">
            <v>Relocation</v>
          </cell>
          <cell r="KJ760" t="str">
            <v>Bulacan</v>
          </cell>
        </row>
        <row r="760">
          <cell r="KL760" t="str">
            <v>Northville 5, Brgy Batia, Bocaue Bulacan</v>
          </cell>
        </row>
        <row r="760">
          <cell r="KT760" t="str">
            <v>x</v>
          </cell>
        </row>
        <row r="760">
          <cell r="KX760" t="str">
            <v>Y</v>
          </cell>
        </row>
        <row r="760">
          <cell r="KZ760" t="str">
            <v>x</v>
          </cell>
        </row>
        <row r="760">
          <cell r="LB760" t="str">
            <v>x</v>
          </cell>
        </row>
        <row r="760">
          <cell r="LE760" t="str">
            <v>x</v>
          </cell>
        </row>
        <row r="761">
          <cell r="A761" t="str">
            <v>isf</v>
          </cell>
        </row>
        <row r="761">
          <cell r="C761" t="str">
            <v>MN-085</v>
          </cell>
        </row>
        <row r="761">
          <cell r="E761" t="str">
            <v>3192 Interior.42 Pilar St., Barangay 199 Zone.18 Tondo Manila</v>
          </cell>
        </row>
        <row r="761">
          <cell r="Q761" t="str">
            <v>R</v>
          </cell>
        </row>
        <row r="761">
          <cell r="T761" t="str">
            <v>Yabut Jr., Segundino</v>
          </cell>
        </row>
        <row r="761">
          <cell r="AS761">
            <v>0.533333333333333</v>
          </cell>
        </row>
        <row r="761">
          <cell r="BS761" t="str">
            <v>Residential</v>
          </cell>
          <cell r="BT761" t="str">
            <v>Structure Owner</v>
          </cell>
        </row>
        <row r="761">
          <cell r="JR761" t="str">
            <v>Need Displacement</v>
          </cell>
        </row>
        <row r="761">
          <cell r="KI761" t="str">
            <v>Relocation</v>
          </cell>
          <cell r="KJ761" t="str">
            <v>In City</v>
          </cell>
        </row>
        <row r="761">
          <cell r="KL761" t="str">
            <v>Disiplina Village (Brgy Bignay, Valenzuela City)</v>
          </cell>
        </row>
        <row r="761">
          <cell r="KR761" t="str">
            <v>x</v>
          </cell>
          <cell r="KS761" t="str">
            <v>x</v>
          </cell>
          <cell r="KT761" t="str">
            <v>x</v>
          </cell>
          <cell r="KU761" t="str">
            <v>x</v>
          </cell>
        </row>
        <row r="761">
          <cell r="KX761" t="str">
            <v>Y</v>
          </cell>
        </row>
        <row r="761">
          <cell r="KZ761" t="str">
            <v>x</v>
          </cell>
        </row>
        <row r="761">
          <cell r="LB761" t="str">
            <v>x</v>
          </cell>
          <cell r="LC761" t="str">
            <v>x</v>
          </cell>
          <cell r="LD761" t="str">
            <v>x</v>
          </cell>
          <cell r="LE761" t="str">
            <v>x</v>
          </cell>
          <cell r="LF761" t="str">
            <v>x</v>
          </cell>
        </row>
        <row r="762">
          <cell r="A762" t="str">
            <v>isf</v>
          </cell>
        </row>
        <row r="762">
          <cell r="C762" t="str">
            <v>MN-086</v>
          </cell>
        </row>
        <row r="762">
          <cell r="E762" t="str">
            <v>3192 Interior.44 Pilar St., Barangay 199 Zone 18 Manuguit Tondo Manila</v>
          </cell>
        </row>
        <row r="762">
          <cell r="Q762" t="str">
            <v>R</v>
          </cell>
        </row>
        <row r="762">
          <cell r="T762" t="str">
            <v>Francisco Jr, Santos</v>
          </cell>
        </row>
        <row r="762">
          <cell r="AS762">
            <v>0.323943661971831</v>
          </cell>
        </row>
        <row r="762">
          <cell r="BS762" t="str">
            <v>Residential</v>
          </cell>
          <cell r="BT762" t="str">
            <v>Structure Owner</v>
          </cell>
        </row>
        <row r="762">
          <cell r="JR762" t="str">
            <v>Need Displacement</v>
          </cell>
        </row>
        <row r="762">
          <cell r="KI762" t="str">
            <v>Relocation</v>
          </cell>
          <cell r="KJ762" t="str">
            <v>Cavite</v>
          </cell>
        </row>
        <row r="762">
          <cell r="KL762" t="str">
            <v>Cavite</v>
          </cell>
        </row>
        <row r="762">
          <cell r="KR762" t="str">
            <v>x</v>
          </cell>
          <cell r="KS762" t="str">
            <v>x</v>
          </cell>
          <cell r="KT762" t="str">
            <v>x</v>
          </cell>
          <cell r="KU762" t="str">
            <v>x</v>
          </cell>
        </row>
        <row r="762">
          <cell r="KX762" t="str">
            <v>Y</v>
          </cell>
        </row>
        <row r="762">
          <cell r="KZ762" t="str">
            <v>x</v>
          </cell>
        </row>
        <row r="762">
          <cell r="LB762" t="str">
            <v>x</v>
          </cell>
          <cell r="LC762" t="str">
            <v>x</v>
          </cell>
          <cell r="LD762" t="str">
            <v>x</v>
          </cell>
          <cell r="LE762" t="str">
            <v>x</v>
          </cell>
          <cell r="LF762" t="str">
            <v>x</v>
          </cell>
        </row>
        <row r="763">
          <cell r="A763" t="str">
            <v>isf-762</v>
          </cell>
        </row>
        <row r="763">
          <cell r="C763" t="str">
            <v>MN-086</v>
          </cell>
        </row>
        <row r="763">
          <cell r="E763" t="str">
            <v>3192 Interior.44 Pilar St., Barangay 199 Zone 18 Manuguit Tondo Manila</v>
          </cell>
        </row>
        <row r="763">
          <cell r="T763" t="str">
            <v>Francisco, Reneboy</v>
          </cell>
        </row>
        <row r="763">
          <cell r="AS763">
            <v>0.323943661971831</v>
          </cell>
        </row>
        <row r="763">
          <cell r="BS763" t="str">
            <v>Residential</v>
          </cell>
          <cell r="BT763" t="str">
            <v>Co-owner</v>
          </cell>
        </row>
        <row r="763">
          <cell r="JR763" t="str">
            <v>Need Displacement</v>
          </cell>
        </row>
        <row r="763">
          <cell r="KI763" t="str">
            <v>Relocation</v>
          </cell>
          <cell r="KJ763" t="str">
            <v>Cavite</v>
          </cell>
        </row>
        <row r="763">
          <cell r="KL763" t="str">
            <v>Cavite</v>
          </cell>
        </row>
        <row r="763">
          <cell r="KU763" t="str">
            <v>x</v>
          </cell>
        </row>
        <row r="763">
          <cell r="KX763" t="str">
            <v>Y</v>
          </cell>
        </row>
        <row r="763">
          <cell r="KZ763" t="str">
            <v>x</v>
          </cell>
          <cell r="LA763" t="str">
            <v>x</v>
          </cell>
        </row>
        <row r="763">
          <cell r="LD763" t="str">
            <v>x</v>
          </cell>
          <cell r="LE763" t="str">
            <v>x</v>
          </cell>
        </row>
        <row r="764">
          <cell r="A764" t="str">
            <v>isf-r-762</v>
          </cell>
        </row>
        <row r="764">
          <cell r="C764" t="str">
            <v>MN-086</v>
          </cell>
        </row>
        <row r="764">
          <cell r="E764" t="str">
            <v>3192 Interior.44 Pilar St., Barangay 199 Zone 18 Manuguit Tondo Manila</v>
          </cell>
        </row>
        <row r="764">
          <cell r="T764" t="str">
            <v>Manalang, Rogelio</v>
          </cell>
        </row>
        <row r="764">
          <cell r="BS764" t="str">
            <v>Residential</v>
          </cell>
          <cell r="BT764" t="str">
            <v>Structure Renter</v>
          </cell>
        </row>
        <row r="764">
          <cell r="JP764">
            <v>100</v>
          </cell>
        </row>
        <row r="764">
          <cell r="JR764" t="str">
            <v>Need Displacement</v>
          </cell>
        </row>
        <row r="765">
          <cell r="A765" t="str">
            <v>isf-sh-762</v>
          </cell>
        </row>
        <row r="765">
          <cell r="C765" t="str">
            <v>MN-086</v>
          </cell>
        </row>
        <row r="765">
          <cell r="E765" t="str">
            <v>3192 Interior.44 Pilar St., Barangay 199 Zone 18 Manuguit Tondo Manila</v>
          </cell>
        </row>
        <row r="765">
          <cell r="T765" t="str">
            <v>Jacinto, Evelyn</v>
          </cell>
        </row>
        <row r="765">
          <cell r="BS765" t="str">
            <v>Residential</v>
          </cell>
          <cell r="BT765" t="str">
            <v>Co-owner</v>
          </cell>
        </row>
        <row r="765">
          <cell r="JR765" t="str">
            <v>Need Displacement</v>
          </cell>
        </row>
        <row r="765">
          <cell r="KI765" t="str">
            <v>Relocation</v>
          </cell>
          <cell r="KJ765" t="str">
            <v>Cavite</v>
          </cell>
        </row>
        <row r="765">
          <cell r="KL765" t="str">
            <v>Cavite</v>
          </cell>
        </row>
        <row r="765">
          <cell r="KQ765" t="str">
            <v>x</v>
          </cell>
          <cell r="KR765" t="str">
            <v>x</v>
          </cell>
          <cell r="KS765" t="str">
            <v>x</v>
          </cell>
          <cell r="KT765" t="str">
            <v>x</v>
          </cell>
          <cell r="KU765" t="str">
            <v>x</v>
          </cell>
        </row>
        <row r="765">
          <cell r="KX765" t="str">
            <v>Y</v>
          </cell>
        </row>
        <row r="765">
          <cell r="LE765" t="str">
            <v>x</v>
          </cell>
        </row>
        <row r="766">
          <cell r="A766" t="str">
            <v>isf-co-762</v>
          </cell>
        </row>
        <row r="766">
          <cell r="C766" t="str">
            <v>MN-086</v>
          </cell>
        </row>
        <row r="766">
          <cell r="E766" t="str">
            <v>3192 Interior.44 Pilar St., Barangay 199 Zone 18 Manuguit Tondo Manila</v>
          </cell>
        </row>
        <row r="766">
          <cell r="T766" t="str">
            <v>Francisco, Edencio</v>
          </cell>
        </row>
        <row r="766">
          <cell r="BS766" t="str">
            <v>Residential</v>
          </cell>
          <cell r="BT766" t="str">
            <v>Co-owner</v>
          </cell>
        </row>
        <row r="766">
          <cell r="JR766" t="str">
            <v>Need Displacement</v>
          </cell>
        </row>
        <row r="766">
          <cell r="KI766" t="str">
            <v>Relocation</v>
          </cell>
          <cell r="KJ766" t="str">
            <v>Cavite</v>
          </cell>
        </row>
        <row r="766">
          <cell r="KL766" t="str">
            <v>Cavite</v>
          </cell>
        </row>
        <row r="766">
          <cell r="KR766" t="str">
            <v>x</v>
          </cell>
          <cell r="KS766" t="str">
            <v>x</v>
          </cell>
        </row>
        <row r="766">
          <cell r="KU766" t="str">
            <v>x</v>
          </cell>
        </row>
        <row r="766">
          <cell r="KX766" t="str">
            <v>Y</v>
          </cell>
        </row>
        <row r="766">
          <cell r="KZ766" t="str">
            <v>x</v>
          </cell>
        </row>
        <row r="766">
          <cell r="LB766" t="str">
            <v>x</v>
          </cell>
          <cell r="LC766" t="str">
            <v>x</v>
          </cell>
          <cell r="LD766" t="str">
            <v>x</v>
          </cell>
          <cell r="LE766" t="str">
            <v>x</v>
          </cell>
          <cell r="LF766" t="str">
            <v>x</v>
          </cell>
        </row>
        <row r="767">
          <cell r="A767" t="str">
            <v>isf-co-762</v>
          </cell>
        </row>
        <row r="767">
          <cell r="C767" t="str">
            <v>MN-086A</v>
          </cell>
        </row>
        <row r="767">
          <cell r="E767" t="str">
            <v>3192 Interior.44 Pilar St., Barangay 199 Zone 18 Manuguit Tondo Manila</v>
          </cell>
        </row>
        <row r="767">
          <cell r="Q767" t="str">
            <v>R</v>
          </cell>
        </row>
        <row r="767">
          <cell r="T767" t="str">
            <v>Devilla, Emelen</v>
          </cell>
        </row>
        <row r="767">
          <cell r="BS767" t="str">
            <v>Residential</v>
          </cell>
          <cell r="BT767" t="str">
            <v>Structure Owner</v>
          </cell>
        </row>
        <row r="767">
          <cell r="JR767" t="str">
            <v>Need Displacement</v>
          </cell>
        </row>
        <row r="767">
          <cell r="KI767" t="str">
            <v>Relocation</v>
          </cell>
          <cell r="KJ767" t="str">
            <v>Bulacan</v>
          </cell>
        </row>
        <row r="767">
          <cell r="KL767" t="str">
            <v>NorthVille 7, Brgy. Malis, Guiguinto Bulacan</v>
          </cell>
        </row>
        <row r="767">
          <cell r="KS767" t="str">
            <v>x</v>
          </cell>
        </row>
        <row r="767">
          <cell r="KX767" t="str">
            <v>Y</v>
          </cell>
        </row>
        <row r="767">
          <cell r="KZ767" t="str">
            <v>x</v>
          </cell>
        </row>
        <row r="767">
          <cell r="LB767" t="str">
            <v>x</v>
          </cell>
          <cell r="LC767" t="str">
            <v>x</v>
          </cell>
          <cell r="LD767" t="str">
            <v>x</v>
          </cell>
          <cell r="LE767" t="str">
            <v>x</v>
          </cell>
          <cell r="LF767" t="str">
            <v>x</v>
          </cell>
        </row>
        <row r="768">
          <cell r="A768" t="str">
            <v>legal</v>
          </cell>
        </row>
        <row r="768">
          <cell r="C768" t="str">
            <v>MN-087</v>
          </cell>
        </row>
        <row r="768">
          <cell r="E768" t="str">
            <v>3192 Interior.31 Pilar St., Barangay 199 Zone 18, Tondo Manila</v>
          </cell>
        </row>
        <row r="768">
          <cell r="Q768" t="str">
            <v>R</v>
          </cell>
        </row>
        <row r="768">
          <cell r="T768" t="str">
            <v>Poblete, Eduardo</v>
          </cell>
        </row>
        <row r="768">
          <cell r="AS768">
            <v>0.25</v>
          </cell>
        </row>
        <row r="768">
          <cell r="BS768" t="str">
            <v>Residential</v>
          </cell>
          <cell r="BT768" t="str">
            <v>Structure Owner</v>
          </cell>
        </row>
        <row r="768">
          <cell r="JR768" t="str">
            <v>Need Displacement</v>
          </cell>
        </row>
        <row r="769">
          <cell r="A769" t="str">
            <v>legal</v>
          </cell>
        </row>
        <row r="769">
          <cell r="C769" t="str">
            <v>MN-088</v>
          </cell>
        </row>
        <row r="769">
          <cell r="E769" t="str">
            <v>3192 Interior.29 Pilar St., Barangay 199 Zone 18, Tondo Manila</v>
          </cell>
        </row>
        <row r="769">
          <cell r="Q769" t="str">
            <v>L</v>
          </cell>
        </row>
        <row r="769">
          <cell r="T769" t="str">
            <v>Buenaventura, Angelito</v>
          </cell>
        </row>
        <row r="769">
          <cell r="AS769">
            <v>0.127941176470588</v>
          </cell>
        </row>
        <row r="769">
          <cell r="BS769" t="str">
            <v>Residential</v>
          </cell>
          <cell r="BT769" t="str">
            <v>Structure Owner</v>
          </cell>
        </row>
        <row r="769">
          <cell r="JR769" t="str">
            <v>Can Stay</v>
          </cell>
        </row>
        <row r="769">
          <cell r="VV769" t="str">
            <v>legal</v>
          </cell>
        </row>
        <row r="770">
          <cell r="A770" t="str">
            <v>isf</v>
          </cell>
        </row>
        <row r="770">
          <cell r="C770" t="str">
            <v>MN-089</v>
          </cell>
        </row>
        <row r="770">
          <cell r="E770" t="str">
            <v>3192 Pilar St., Barangay 199 Zone 18, Tondo Manila</v>
          </cell>
        </row>
        <row r="770">
          <cell r="AS770">
            <v>1</v>
          </cell>
        </row>
        <row r="770">
          <cell r="BS770" t="str">
            <v>Residential</v>
          </cell>
          <cell r="BT770" t="str">
            <v>Structure Owner</v>
          </cell>
        </row>
        <row r="770">
          <cell r="VV770" t="str">
            <v>isf</v>
          </cell>
        </row>
        <row r="771">
          <cell r="A771" t="str">
            <v>isf</v>
          </cell>
        </row>
        <row r="771">
          <cell r="C771" t="str">
            <v>MN-090</v>
          </cell>
        </row>
        <row r="771">
          <cell r="E771" t="str">
            <v>3192 Interior.21 Pilar St., Barangay 199 Zone 18, Tondo Manila</v>
          </cell>
        </row>
        <row r="771">
          <cell r="Q771" t="str">
            <v>L</v>
          </cell>
        </row>
        <row r="771">
          <cell r="AS771">
            <v>1</v>
          </cell>
        </row>
        <row r="771">
          <cell r="BS771" t="str">
            <v>Residential</v>
          </cell>
          <cell r="BT771" t="str">
            <v>Structure Owner</v>
          </cell>
        </row>
        <row r="771">
          <cell r="VV771" t="str">
            <v>isf</v>
          </cell>
        </row>
        <row r="772">
          <cell r="A772" t="str">
            <v>isf</v>
          </cell>
        </row>
        <row r="772">
          <cell r="C772" t="str">
            <v>MN-091</v>
          </cell>
        </row>
        <row r="772">
          <cell r="E772" t="str">
            <v>3192 Interior.24 Pilar St., Barangay 199 Zone 18, Tondo Manila</v>
          </cell>
        </row>
        <row r="772">
          <cell r="Q772" t="str">
            <v>L</v>
          </cell>
        </row>
        <row r="772">
          <cell r="T772" t="str">
            <v>Manalo, Elvira</v>
          </cell>
        </row>
        <row r="772">
          <cell r="AS772">
            <v>0.0863039399624766</v>
          </cell>
        </row>
        <row r="772">
          <cell r="BS772" t="str">
            <v>Residential</v>
          </cell>
          <cell r="BT772" t="str">
            <v>Structure Owner</v>
          </cell>
        </row>
        <row r="772">
          <cell r="JR772" t="str">
            <v>Can Stay</v>
          </cell>
        </row>
        <row r="773">
          <cell r="A773" t="str">
            <v>isf</v>
          </cell>
        </row>
        <row r="773">
          <cell r="C773" t="str">
            <v>MN-092</v>
          </cell>
        </row>
        <row r="773">
          <cell r="E773" t="str">
            <v>3192 Interior.31 Pilar St., Barangay 199 Zone 18, Tondo Manila</v>
          </cell>
        </row>
        <row r="773">
          <cell r="Q773" t="str">
            <v>L</v>
          </cell>
        </row>
        <row r="773">
          <cell r="T773" t="str">
            <v>Gravoso, Jocelyn</v>
          </cell>
        </row>
        <row r="773">
          <cell r="AS773">
            <v>1</v>
          </cell>
        </row>
        <row r="773">
          <cell r="BS773" t="str">
            <v>Residential</v>
          </cell>
          <cell r="BT773" t="str">
            <v>Structure Owner</v>
          </cell>
        </row>
        <row r="773">
          <cell r="JR773" t="str">
            <v>Need Displacement</v>
          </cell>
        </row>
        <row r="773">
          <cell r="KI773" t="str">
            <v>Relocation</v>
          </cell>
          <cell r="KJ773" t="str">
            <v>In City</v>
          </cell>
        </row>
        <row r="773">
          <cell r="KL773" t="str">
            <v>Disiplina Village (Brgy Bignay, Valenzuela City)</v>
          </cell>
        </row>
        <row r="773">
          <cell r="KQ773" t="str">
            <v>x</v>
          </cell>
          <cell r="KR773" t="str">
            <v>x</v>
          </cell>
          <cell r="KS773" t="str">
            <v>x</v>
          </cell>
          <cell r="KT773" t="str">
            <v>x</v>
          </cell>
          <cell r="KU773" t="str">
            <v>x</v>
          </cell>
        </row>
        <row r="773">
          <cell r="KX773" t="str">
            <v>Y</v>
          </cell>
        </row>
        <row r="773">
          <cell r="KZ773" t="str">
            <v>x</v>
          </cell>
          <cell r="LA773" t="str">
            <v>x</v>
          </cell>
          <cell r="LB773" t="str">
            <v>x</v>
          </cell>
          <cell r="LC773" t="str">
            <v>x</v>
          </cell>
          <cell r="LD773" t="str">
            <v>x</v>
          </cell>
          <cell r="LE773" t="str">
            <v>x</v>
          </cell>
          <cell r="LF773" t="str">
            <v>x</v>
          </cell>
        </row>
        <row r="774">
          <cell r="A774" t="str">
            <v>isf</v>
          </cell>
        </row>
        <row r="774">
          <cell r="C774" t="str">
            <v>MN-093</v>
          </cell>
        </row>
        <row r="774">
          <cell r="E774" t="str">
            <v>980 Q. Hermosa St., Barangay 199 Tondo Manila</v>
          </cell>
        </row>
        <row r="774">
          <cell r="Q774" t="str">
            <v>L</v>
          </cell>
        </row>
        <row r="774">
          <cell r="T774" t="str">
            <v>Jornales, Jose Ruel</v>
          </cell>
        </row>
        <row r="774">
          <cell r="AS774">
            <v>0.00384615384615385</v>
          </cell>
        </row>
        <row r="774">
          <cell r="BS774" t="str">
            <v>Residential</v>
          </cell>
          <cell r="BT774" t="str">
            <v>Structure Owner</v>
          </cell>
        </row>
        <row r="774">
          <cell r="JR774" t="str">
            <v>Can Stay</v>
          </cell>
        </row>
        <row r="775">
          <cell r="A775" t="str">
            <v>ISF</v>
          </cell>
        </row>
        <row r="775">
          <cell r="C775" t="str">
            <v>MN-094</v>
          </cell>
        </row>
        <row r="775">
          <cell r="E775" t="str">
            <v>3147 Interior.12 Pilar St., Barangay 199 Tondo Manila</v>
          </cell>
        </row>
        <row r="775">
          <cell r="Q775" t="str">
            <v>L</v>
          </cell>
        </row>
        <row r="775">
          <cell r="T775" t="str">
            <v>Vicente, Edelberto Jornales</v>
          </cell>
        </row>
        <row r="775">
          <cell r="AS775">
            <v>0.1</v>
          </cell>
        </row>
        <row r="775">
          <cell r="BS775" t="str">
            <v>Residential</v>
          </cell>
          <cell r="BT775" t="str">
            <v>Structure Owner</v>
          </cell>
        </row>
        <row r="775">
          <cell r="VV775" t="str">
            <v>ISF</v>
          </cell>
        </row>
        <row r="776">
          <cell r="A776" t="str">
            <v>ISF</v>
          </cell>
        </row>
        <row r="776">
          <cell r="C776" t="str">
            <v>MN-095</v>
          </cell>
        </row>
        <row r="776">
          <cell r="E776" t="str">
            <v>3165 Interior.12 Pilar St., Barangay 199 Tondo Manila</v>
          </cell>
        </row>
        <row r="776">
          <cell r="Q776" t="str">
            <v>L</v>
          </cell>
        </row>
        <row r="776">
          <cell r="T776" t="str">
            <v>Villaroman, George Talavera</v>
          </cell>
        </row>
        <row r="776">
          <cell r="AS776">
            <v>1</v>
          </cell>
        </row>
        <row r="776">
          <cell r="BS776" t="str">
            <v>Residential</v>
          </cell>
          <cell r="BT776" t="str">
            <v>Structure Owner</v>
          </cell>
        </row>
        <row r="776">
          <cell r="VV776" t="str">
            <v>ISF</v>
          </cell>
        </row>
        <row r="777">
          <cell r="A777" t="str">
            <v>legal</v>
          </cell>
        </row>
        <row r="777">
          <cell r="C777" t="str">
            <v>MN-096</v>
          </cell>
        </row>
        <row r="777">
          <cell r="E777" t="str">
            <v>3165 Interior.16 Pilar St., Barangay 199 Tondo Manila</v>
          </cell>
        </row>
        <row r="777">
          <cell r="Q777" t="str">
            <v>L</v>
          </cell>
        </row>
        <row r="777">
          <cell r="T777" t="str">
            <v>Yusi, Edgar Tirona</v>
          </cell>
        </row>
        <row r="777">
          <cell r="AS777">
            <v>1</v>
          </cell>
        </row>
        <row r="777">
          <cell r="BS777" t="str">
            <v>Residential</v>
          </cell>
          <cell r="BT777" t="str">
            <v>Structure Owner</v>
          </cell>
        </row>
        <row r="777">
          <cell r="VV777" t="str">
            <v>legal</v>
          </cell>
        </row>
        <row r="778">
          <cell r="A778" t="str">
            <v>legal</v>
          </cell>
        </row>
        <row r="778">
          <cell r="C778" t="str">
            <v>MN-097</v>
          </cell>
        </row>
        <row r="778">
          <cell r="E778" t="str">
            <v>61 Daang Bakal Barangy 199 Tondo Manila</v>
          </cell>
        </row>
        <row r="778">
          <cell r="Q778" t="str">
            <v>L</v>
          </cell>
        </row>
        <row r="778">
          <cell r="T778" t="str">
            <v>Pacampara, Ronnie Elizalde</v>
          </cell>
        </row>
        <row r="778">
          <cell r="AS778">
            <v>1</v>
          </cell>
        </row>
        <row r="778">
          <cell r="BS778" t="str">
            <v>Residential</v>
          </cell>
          <cell r="BT778" t="str">
            <v>Structure Owner</v>
          </cell>
        </row>
        <row r="778">
          <cell r="VV778" t="str">
            <v>legal</v>
          </cell>
        </row>
        <row r="779">
          <cell r="A779" t="str">
            <v>isf</v>
          </cell>
        </row>
        <row r="779">
          <cell r="C779" t="str">
            <v>MN-098</v>
          </cell>
        </row>
        <row r="779">
          <cell r="E779" t="str">
            <v>Pilar St., Barangay 200, Tondo, Manila</v>
          </cell>
        </row>
        <row r="779">
          <cell r="T779" t="str">
            <v>Yolly Aldana (Refused)</v>
          </cell>
        </row>
        <row r="779">
          <cell r="BS779" t="str">
            <v>Residential</v>
          </cell>
          <cell r="BT779" t="str">
            <v>Structure Owner</v>
          </cell>
        </row>
        <row r="779">
          <cell r="JR779" t="str">
            <v>Need Displacement</v>
          </cell>
        </row>
        <row r="779">
          <cell r="KI779" t="str">
            <v>No Answer</v>
          </cell>
        </row>
        <row r="780">
          <cell r="A780" t="str">
            <v>isf</v>
          </cell>
        </row>
        <row r="780">
          <cell r="C780" t="str">
            <v>MN-099</v>
          </cell>
        </row>
        <row r="780">
          <cell r="E780" t="str">
            <v>3192 Interior.22, Pilar St., Barangay 199 Manuguit Tondo Manila</v>
          </cell>
        </row>
        <row r="780">
          <cell r="Q780" t="str">
            <v>R</v>
          </cell>
        </row>
        <row r="780">
          <cell r="T780" t="str">
            <v>Angeles, Antonio</v>
          </cell>
        </row>
        <row r="780">
          <cell r="AS780">
            <v>1</v>
          </cell>
        </row>
        <row r="780">
          <cell r="BS780" t="str">
            <v>Residential</v>
          </cell>
          <cell r="BT780" t="str">
            <v>Structure Owner</v>
          </cell>
        </row>
        <row r="780">
          <cell r="JR780" t="str">
            <v>Need Displacement</v>
          </cell>
        </row>
        <row r="780">
          <cell r="KI780" t="str">
            <v>Relocation</v>
          </cell>
          <cell r="KJ780" t="str">
            <v>Bulacan</v>
          </cell>
        </row>
        <row r="780">
          <cell r="KL780" t="str">
            <v>San Jose Del Monte Heights, (Brgy. Muzon, SJDM, Bulacan)</v>
          </cell>
        </row>
        <row r="780">
          <cell r="KR780" t="str">
            <v>x</v>
          </cell>
        </row>
        <row r="780">
          <cell r="KX780" t="str">
            <v>Y</v>
          </cell>
        </row>
        <row r="780">
          <cell r="KZ780" t="str">
            <v>x</v>
          </cell>
        </row>
        <row r="780">
          <cell r="LC780" t="str">
            <v>x</v>
          </cell>
        </row>
        <row r="781">
          <cell r="A781" t="str">
            <v>isf</v>
          </cell>
        </row>
        <row r="781">
          <cell r="C781" t="str">
            <v>MN-100</v>
          </cell>
        </row>
        <row r="781">
          <cell r="E781" t="str">
            <v>3192 Interior.20, Pilar St., Barangay 199 Manuguit Tondo Manila</v>
          </cell>
        </row>
        <row r="781">
          <cell r="Q781" t="str">
            <v>R</v>
          </cell>
        </row>
        <row r="781">
          <cell r="T781" t="str">
            <v>Ortega, Marcelino Aluarte</v>
          </cell>
        </row>
        <row r="781">
          <cell r="AS781">
            <v>1</v>
          </cell>
        </row>
        <row r="781">
          <cell r="BS781" t="str">
            <v>Residential</v>
          </cell>
          <cell r="BT781" t="str">
            <v>Structure Owner</v>
          </cell>
        </row>
        <row r="781">
          <cell r="VV781" t="str">
            <v>isf</v>
          </cell>
        </row>
        <row r="782">
          <cell r="A782" t="str">
            <v>isf</v>
          </cell>
        </row>
        <row r="782">
          <cell r="C782" t="str">
            <v>MN-101</v>
          </cell>
        </row>
        <row r="782">
          <cell r="E782" t="str">
            <v>3192 Pilar St., Barangay 199 Tondo Manila</v>
          </cell>
        </row>
        <row r="782">
          <cell r="Q782" t="str">
            <v>R</v>
          </cell>
        </row>
        <row r="782">
          <cell r="T782" t="str">
            <v>Jacinto, Vicente Espinilla</v>
          </cell>
        </row>
        <row r="782">
          <cell r="AS782">
            <v>1</v>
          </cell>
        </row>
        <row r="782">
          <cell r="BS782" t="str">
            <v>Residential</v>
          </cell>
          <cell r="BT782" t="str">
            <v>Structure Owner</v>
          </cell>
        </row>
        <row r="782">
          <cell r="VV782" t="str">
            <v>isf</v>
          </cell>
        </row>
        <row r="783">
          <cell r="A783" t="str">
            <v>isf</v>
          </cell>
        </row>
        <row r="783">
          <cell r="C783" t="str">
            <v>MN-102</v>
          </cell>
        </row>
        <row r="783">
          <cell r="E783" t="str">
            <v>3192 Interior.24, Pilar St., Barangay 199 Tondo Manila</v>
          </cell>
        </row>
        <row r="783">
          <cell r="Q783" t="str">
            <v>R</v>
          </cell>
        </row>
        <row r="783">
          <cell r="T783" t="str">
            <v>Aluarte, Alejandro Dela Cruz</v>
          </cell>
        </row>
        <row r="783">
          <cell r="AS783">
            <v>1</v>
          </cell>
        </row>
        <row r="783">
          <cell r="BS783" t="str">
            <v>Residential</v>
          </cell>
          <cell r="BT783" t="str">
            <v>Structure Owner</v>
          </cell>
        </row>
        <row r="783">
          <cell r="VV783" t="str">
            <v>isf</v>
          </cell>
        </row>
        <row r="784">
          <cell r="A784" t="str">
            <v>isf</v>
          </cell>
        </row>
        <row r="784">
          <cell r="C784" t="str">
            <v>MN-103</v>
          </cell>
        </row>
        <row r="784">
          <cell r="E784" t="str">
            <v>2978 Dagupan Ext., Barangay 184 Gagalangin Tondo Manila</v>
          </cell>
        </row>
        <row r="784">
          <cell r="Q784" t="str">
            <v>R</v>
          </cell>
        </row>
        <row r="784">
          <cell r="T784" t="str">
            <v>Ravina, Dennis</v>
          </cell>
        </row>
        <row r="784">
          <cell r="AS784">
            <v>0.0413793103448276</v>
          </cell>
        </row>
        <row r="784">
          <cell r="BS784" t="str">
            <v>Residential</v>
          </cell>
          <cell r="BT784" t="str">
            <v>Structure Owner</v>
          </cell>
        </row>
        <row r="784">
          <cell r="JR784" t="str">
            <v>Can Stay</v>
          </cell>
        </row>
        <row r="785">
          <cell r="A785" t="str">
            <v>isf-co-784</v>
          </cell>
        </row>
        <row r="785">
          <cell r="C785" t="str">
            <v>MN-103</v>
          </cell>
        </row>
        <row r="785">
          <cell r="E785" t="str">
            <v>2978 Dagupan Ext., Barangay 184 Gagalangin Tondo Manila</v>
          </cell>
        </row>
        <row r="785">
          <cell r="T785" t="str">
            <v>Donguines, Gerbeth</v>
          </cell>
        </row>
        <row r="785">
          <cell r="BS785" t="str">
            <v>Residential</v>
          </cell>
          <cell r="BT785" t="str">
            <v>Co-owner</v>
          </cell>
        </row>
        <row r="785">
          <cell r="JR785" t="str">
            <v>Can Stay</v>
          </cell>
        </row>
        <row r="786">
          <cell r="A786" t="str">
            <v>isf</v>
          </cell>
        </row>
        <row r="786">
          <cell r="C786" t="str">
            <v>MN-104</v>
          </cell>
        </row>
        <row r="786">
          <cell r="E786" t="str">
            <v>3165 Interior.18 Pilar St., Barangay 199 Tondo Manila</v>
          </cell>
        </row>
        <row r="786">
          <cell r="Q786" t="str">
            <v>R</v>
          </cell>
        </row>
        <row r="786">
          <cell r="T786" t="str">
            <v>Miguel, Carmina</v>
          </cell>
        </row>
        <row r="786">
          <cell r="AS786">
            <v>1</v>
          </cell>
        </row>
        <row r="786">
          <cell r="BS786" t="str">
            <v>Mixed Use</v>
          </cell>
          <cell r="BT786" t="str">
            <v>Structure Owner</v>
          </cell>
        </row>
        <row r="786">
          <cell r="JR786" t="str">
            <v>Need Displacement</v>
          </cell>
        </row>
        <row r="786">
          <cell r="KI786" t="str">
            <v>Relocation</v>
          </cell>
        </row>
        <row r="786">
          <cell r="KL786" t="str">
            <v>Pandi Residences (Brgy. Mapulang Lupa, Pandi, Bulacan)</v>
          </cell>
        </row>
        <row r="786">
          <cell r="KQ786" t="str">
            <v>x</v>
          </cell>
          <cell r="KR786" t="str">
            <v>x</v>
          </cell>
          <cell r="KS786" t="str">
            <v>x</v>
          </cell>
          <cell r="KT786" t="str">
            <v>x</v>
          </cell>
          <cell r="KU786" t="str">
            <v>x</v>
          </cell>
        </row>
        <row r="786">
          <cell r="KX786" t="str">
            <v>Y</v>
          </cell>
        </row>
        <row r="786">
          <cell r="KZ786" t="str">
            <v>x</v>
          </cell>
          <cell r="LA786" t="str">
            <v>x</v>
          </cell>
          <cell r="LB786" t="str">
            <v>x</v>
          </cell>
          <cell r="LC786" t="str">
            <v>x</v>
          </cell>
          <cell r="LD786" t="str">
            <v>x</v>
          </cell>
          <cell r="LE786" t="str">
            <v>x</v>
          </cell>
          <cell r="LF786" t="str">
            <v>x</v>
          </cell>
        </row>
        <row r="787">
          <cell r="A787" t="str">
            <v>isf</v>
          </cell>
        </row>
        <row r="787">
          <cell r="C787" t="str">
            <v>MN-105</v>
          </cell>
        </row>
        <row r="787">
          <cell r="E787" t="str">
            <v>3050 Dagupan Ext., Barangay 184 Zone.16 Gagalangin Tondo Manila</v>
          </cell>
        </row>
        <row r="787">
          <cell r="Q787" t="str">
            <v>R</v>
          </cell>
        </row>
        <row r="787">
          <cell r="T787" t="str">
            <v>Ramos, Adelaida</v>
          </cell>
        </row>
        <row r="787">
          <cell r="AS787">
            <v>0.263157894736842</v>
          </cell>
        </row>
        <row r="787">
          <cell r="BS787" t="str">
            <v>Residential</v>
          </cell>
          <cell r="BT787" t="str">
            <v>Structure Owner</v>
          </cell>
        </row>
        <row r="787">
          <cell r="JR787" t="str">
            <v>Need Displacement</v>
          </cell>
        </row>
        <row r="787">
          <cell r="KI787" t="str">
            <v>Cash Compensation/ Balik Probinsiya Program</v>
          </cell>
        </row>
        <row r="788">
          <cell r="A788" t="str">
            <v>legal</v>
          </cell>
        </row>
        <row r="788">
          <cell r="C788" t="str">
            <v>MN-106</v>
          </cell>
        </row>
        <row r="788">
          <cell r="E788" t="str">
            <v>3046 Dagupan Ext., Barangay 184 Gagalangin Tondo Manila</v>
          </cell>
        </row>
        <row r="788">
          <cell r="Q788" t="str">
            <v>R</v>
          </cell>
        </row>
        <row r="788">
          <cell r="T788" t="str">
            <v>Sta. Juana, Constancio</v>
          </cell>
        </row>
        <row r="788">
          <cell r="AS788">
            <v>0.375</v>
          </cell>
        </row>
        <row r="788">
          <cell r="BS788" t="str">
            <v>Residential</v>
          </cell>
          <cell r="BT788" t="str">
            <v>Structure Owner</v>
          </cell>
        </row>
        <row r="788">
          <cell r="JR788" t="str">
            <v>Need Displacement</v>
          </cell>
        </row>
        <row r="788">
          <cell r="VV788" t="str">
            <v>legal</v>
          </cell>
        </row>
        <row r="789">
          <cell r="A789" t="str">
            <v>legal-co 788</v>
          </cell>
        </row>
        <row r="789">
          <cell r="C789" t="str">
            <v>MN-106</v>
          </cell>
        </row>
        <row r="789">
          <cell r="E789" t="str">
            <v>3046 Dagupan Ext., Barangay 184 Gagalangin Tondo Manila</v>
          </cell>
        </row>
        <row r="789">
          <cell r="T789" t="str">
            <v>Sta. Juana, Alvin</v>
          </cell>
        </row>
        <row r="789">
          <cell r="BS789" t="str">
            <v>Residential</v>
          </cell>
          <cell r="BT789" t="str">
            <v>Co-owner</v>
          </cell>
        </row>
        <row r="789">
          <cell r="JR789" t="str">
            <v>Need Displacement</v>
          </cell>
        </row>
        <row r="790">
          <cell r="A790" t="str">
            <v>legal-co 788</v>
          </cell>
        </row>
        <row r="790">
          <cell r="C790" t="str">
            <v>MN-106</v>
          </cell>
        </row>
        <row r="790">
          <cell r="E790" t="str">
            <v>3046 Dagupan Ext., Barangay 184 Gagalangin Tondo Manila</v>
          </cell>
        </row>
        <row r="790">
          <cell r="T790" t="str">
            <v>Sta. Juana Jr, Liberato</v>
          </cell>
        </row>
        <row r="790">
          <cell r="BS790" t="str">
            <v>Residential</v>
          </cell>
          <cell r="BT790" t="str">
            <v>Co-owner</v>
          </cell>
        </row>
        <row r="790">
          <cell r="JR790" t="str">
            <v>Need Displacement</v>
          </cell>
        </row>
        <row r="791">
          <cell r="A791" t="str">
            <v>isf</v>
          </cell>
        </row>
        <row r="791">
          <cell r="C791" t="str">
            <v>MN-107A</v>
          </cell>
        </row>
        <row r="791">
          <cell r="E791" t="str">
            <v>3042 Dagupan Ext., Barangay 184 Gagalangin Tondo Manila</v>
          </cell>
        </row>
        <row r="791">
          <cell r="Q791" t="str">
            <v>R</v>
          </cell>
        </row>
        <row r="791">
          <cell r="T791" t="str">
            <v>Antenor, Joyce Anne</v>
          </cell>
        </row>
        <row r="791">
          <cell r="AS791">
            <v>0.75</v>
          </cell>
        </row>
        <row r="791">
          <cell r="BS791" t="str">
            <v>Residential</v>
          </cell>
          <cell r="BT791" t="str">
            <v>Structure Owner</v>
          </cell>
        </row>
        <row r="791">
          <cell r="JR791" t="str">
            <v>Need Displacement</v>
          </cell>
        </row>
        <row r="791">
          <cell r="KI791" t="str">
            <v>Relocation</v>
          </cell>
          <cell r="KJ791" t="str">
            <v>Bulacan</v>
          </cell>
        </row>
        <row r="791">
          <cell r="KL791" t="str">
            <v>NorthVille 7, Brgy. Malis, Guiguinto Bulacan</v>
          </cell>
        </row>
        <row r="791">
          <cell r="KQ791" t="str">
            <v>x</v>
          </cell>
          <cell r="KR791" t="str">
            <v>x</v>
          </cell>
          <cell r="KS791" t="str">
            <v>x</v>
          </cell>
          <cell r="KT791" t="str">
            <v>x</v>
          </cell>
          <cell r="KU791" t="str">
            <v>x</v>
          </cell>
        </row>
        <row r="791">
          <cell r="KX791" t="str">
            <v>Y</v>
          </cell>
        </row>
        <row r="791">
          <cell r="KZ791" t="str">
            <v>x</v>
          </cell>
          <cell r="LA791" t="str">
            <v>x</v>
          </cell>
          <cell r="LB791" t="str">
            <v>x</v>
          </cell>
          <cell r="LC791" t="str">
            <v>x</v>
          </cell>
          <cell r="LD791" t="str">
            <v>x</v>
          </cell>
          <cell r="LE791" t="str">
            <v>x</v>
          </cell>
          <cell r="LF791" t="str">
            <v>x</v>
          </cell>
        </row>
        <row r="792">
          <cell r="A792" t="str">
            <v>isf 792</v>
          </cell>
        </row>
        <row r="792">
          <cell r="C792" t="str">
            <v>MN-107B</v>
          </cell>
        </row>
        <row r="792">
          <cell r="E792" t="str">
            <v>3042 Dagupan Ext., Barangay 184 Gagalangin Tondo Manila</v>
          </cell>
        </row>
        <row r="792">
          <cell r="Q792" t="str">
            <v>R</v>
          </cell>
        </row>
        <row r="792">
          <cell r="T792" t="str">
            <v>Parungao, Ernesto</v>
          </cell>
        </row>
        <row r="792">
          <cell r="BS792" t="str">
            <v>Residential</v>
          </cell>
          <cell r="BT792" t="str">
            <v>Structure Owner</v>
          </cell>
        </row>
        <row r="792">
          <cell r="JR792" t="str">
            <v>Need Displacement</v>
          </cell>
        </row>
        <row r="792">
          <cell r="KI792" t="str">
            <v>Relocation</v>
          </cell>
          <cell r="KJ792" t="str">
            <v>Bulacan</v>
          </cell>
        </row>
        <row r="792">
          <cell r="KL792" t="str">
            <v>NorthVille 7, Brgy. Malis, Guiguinto Bulacan</v>
          </cell>
        </row>
        <row r="792">
          <cell r="KQ792" t="str">
            <v>x</v>
          </cell>
        </row>
        <row r="792">
          <cell r="KX792" t="str">
            <v>y</v>
          </cell>
        </row>
        <row r="792">
          <cell r="KZ792" t="str">
            <v>x</v>
          </cell>
          <cell r="LA792" t="str">
            <v>x</v>
          </cell>
        </row>
        <row r="793">
          <cell r="A793" t="str">
            <v>isf 792</v>
          </cell>
        </row>
        <row r="793">
          <cell r="C793" t="str">
            <v>MN-107C</v>
          </cell>
        </row>
        <row r="793">
          <cell r="E793" t="str">
            <v>3042 Dagupan Ext., Barangay 184 Gagalangin Tondo Manila</v>
          </cell>
        </row>
        <row r="793">
          <cell r="Q793" t="str">
            <v>R</v>
          </cell>
        </row>
        <row r="793">
          <cell r="T793" t="str">
            <v>Encarnacion, Jonel</v>
          </cell>
        </row>
        <row r="793">
          <cell r="BS793" t="str">
            <v>Residential</v>
          </cell>
          <cell r="BT793" t="str">
            <v>Structure Owner</v>
          </cell>
        </row>
        <row r="793">
          <cell r="JR793" t="str">
            <v>Need Displacement</v>
          </cell>
        </row>
        <row r="793">
          <cell r="KI793" t="str">
            <v>Relocation</v>
          </cell>
          <cell r="KJ793" t="str">
            <v>Bulacan</v>
          </cell>
        </row>
        <row r="793">
          <cell r="KL793" t="str">
            <v>Pandi Residences (Brgy. Mapulang Lupa, Pandi, Bulacan)</v>
          </cell>
        </row>
        <row r="793">
          <cell r="KR793" t="str">
            <v>x</v>
          </cell>
          <cell r="KS793" t="str">
            <v>x</v>
          </cell>
          <cell r="KT793" t="str">
            <v>x</v>
          </cell>
          <cell r="KU793" t="str">
            <v>x</v>
          </cell>
        </row>
        <row r="793">
          <cell r="KX793" t="str">
            <v>Y</v>
          </cell>
        </row>
        <row r="793">
          <cell r="KZ793" t="str">
            <v>x</v>
          </cell>
        </row>
        <row r="793">
          <cell r="LB793" t="str">
            <v>x</v>
          </cell>
          <cell r="LC793" t="str">
            <v>x</v>
          </cell>
          <cell r="LD793" t="str">
            <v>x</v>
          </cell>
          <cell r="LE793" t="str">
            <v>x</v>
          </cell>
          <cell r="LF793" t="str">
            <v>x</v>
          </cell>
        </row>
        <row r="794">
          <cell r="A794" t="str">
            <v>isf 792</v>
          </cell>
        </row>
        <row r="794">
          <cell r="C794" t="str">
            <v>MN-107D</v>
          </cell>
        </row>
        <row r="794">
          <cell r="E794" t="str">
            <v>3042 Dagupan Ext., Barangay 184 Gagalangin Tondo Manila</v>
          </cell>
        </row>
        <row r="794">
          <cell r="Q794" t="str">
            <v>R</v>
          </cell>
        </row>
        <row r="794">
          <cell r="T794" t="str">
            <v>Tiongson, Corazon</v>
          </cell>
        </row>
        <row r="794">
          <cell r="BS794" t="str">
            <v>Residential</v>
          </cell>
          <cell r="BT794" t="str">
            <v>Structure Owner</v>
          </cell>
        </row>
        <row r="794">
          <cell r="JR794" t="str">
            <v>Need Displacement</v>
          </cell>
        </row>
        <row r="794">
          <cell r="KI794" t="str">
            <v>Relocation</v>
          </cell>
          <cell r="KJ794" t="str">
            <v>Bulacan</v>
          </cell>
        </row>
        <row r="794">
          <cell r="KL794" t="str">
            <v>Northville 5, Brgy Batia, Bocaue Bulacan</v>
          </cell>
        </row>
        <row r="794">
          <cell r="KQ794" t="str">
            <v>x</v>
          </cell>
        </row>
        <row r="794">
          <cell r="KS794" t="str">
            <v>x</v>
          </cell>
          <cell r="KT794" t="str">
            <v>x</v>
          </cell>
          <cell r="KU794" t="str">
            <v>x</v>
          </cell>
        </row>
        <row r="794">
          <cell r="KX794" t="str">
            <v>Y</v>
          </cell>
        </row>
        <row r="794">
          <cell r="KZ794" t="str">
            <v>x</v>
          </cell>
        </row>
        <row r="794">
          <cell r="LB794" t="str">
            <v>x</v>
          </cell>
          <cell r="LC794" t="str">
            <v>x</v>
          </cell>
          <cell r="LD794" t="str">
            <v>x</v>
          </cell>
          <cell r="LE794" t="str">
            <v>x</v>
          </cell>
          <cell r="LF794" t="str">
            <v>x</v>
          </cell>
        </row>
        <row r="795">
          <cell r="A795" t="str">
            <v>isf 792</v>
          </cell>
        </row>
        <row r="795">
          <cell r="C795" t="str">
            <v>MN-107E</v>
          </cell>
        </row>
        <row r="795">
          <cell r="E795" t="str">
            <v>3042 Dagupan Ext., Barangay 184 Gagalangin Tondo Manila</v>
          </cell>
        </row>
        <row r="795">
          <cell r="Q795" t="str">
            <v>R</v>
          </cell>
        </row>
        <row r="795">
          <cell r="T795" t="str">
            <v>Lorenzo, Ariel</v>
          </cell>
        </row>
        <row r="795">
          <cell r="BS795" t="str">
            <v>Residential</v>
          </cell>
          <cell r="BT795" t="str">
            <v>Structure Owner</v>
          </cell>
        </row>
        <row r="795">
          <cell r="JR795" t="str">
            <v>Need Displacement</v>
          </cell>
        </row>
        <row r="795">
          <cell r="KI795" t="str">
            <v>Relocation</v>
          </cell>
          <cell r="KJ795" t="str">
            <v>Bulacan</v>
          </cell>
        </row>
        <row r="795">
          <cell r="KL795" t="str">
            <v>Pandi Residences (Brgy. Mapulang Lupa, Pandi, Bulacan)</v>
          </cell>
        </row>
        <row r="795">
          <cell r="KR795" t="str">
            <v>x</v>
          </cell>
          <cell r="KS795" t="str">
            <v>x</v>
          </cell>
          <cell r="KT795" t="str">
            <v>x</v>
          </cell>
          <cell r="KU795" t="str">
            <v>x</v>
          </cell>
        </row>
        <row r="795">
          <cell r="KX795" t="str">
            <v>Y</v>
          </cell>
        </row>
        <row r="795">
          <cell r="KZ795" t="str">
            <v>x</v>
          </cell>
          <cell r="LA795" t="str">
            <v>x</v>
          </cell>
          <cell r="LB795" t="str">
            <v>x</v>
          </cell>
        </row>
        <row r="795">
          <cell r="LD795" t="str">
            <v>x</v>
          </cell>
          <cell r="LE795" t="str">
            <v>x</v>
          </cell>
          <cell r="LF795" t="str">
            <v>x</v>
          </cell>
        </row>
        <row r="796">
          <cell r="A796" t="str">
            <v>isf 792</v>
          </cell>
        </row>
        <row r="796">
          <cell r="C796" t="str">
            <v>MN-107F</v>
          </cell>
        </row>
        <row r="796">
          <cell r="E796" t="str">
            <v>3042 Dagupan Ext., Barangay 184 Gagalangin Tondo Manila</v>
          </cell>
        </row>
        <row r="796">
          <cell r="Q796" t="str">
            <v>R</v>
          </cell>
        </row>
        <row r="796">
          <cell r="T796" t="str">
            <v>Parungao, Christina</v>
          </cell>
        </row>
        <row r="796">
          <cell r="BS796" t="str">
            <v>Residential</v>
          </cell>
          <cell r="BT796" t="str">
            <v>Structure Owner</v>
          </cell>
        </row>
        <row r="796">
          <cell r="JR796" t="str">
            <v>Need Displacement</v>
          </cell>
        </row>
        <row r="796">
          <cell r="KI796" t="str">
            <v>Relocation</v>
          </cell>
          <cell r="KJ796" t="str">
            <v>Bulacan</v>
          </cell>
        </row>
        <row r="796">
          <cell r="KL796" t="str">
            <v>San Jose Del Monte Heights, (Brgy. Muzon, SJDM, Bulacan)</v>
          </cell>
        </row>
        <row r="796">
          <cell r="KQ796" t="str">
            <v>x</v>
          </cell>
          <cell r="KR796" t="str">
            <v>x</v>
          </cell>
        </row>
        <row r="796">
          <cell r="KX796" t="str">
            <v>Y</v>
          </cell>
        </row>
        <row r="796">
          <cell r="LB796" t="str">
            <v>x</v>
          </cell>
        </row>
        <row r="796">
          <cell r="LE796" t="str">
            <v>x</v>
          </cell>
          <cell r="LF796" t="str">
            <v>x</v>
          </cell>
        </row>
        <row r="797">
          <cell r="A797" t="str">
            <v>isf 792</v>
          </cell>
        </row>
        <row r="797">
          <cell r="C797" t="str">
            <v>MN-107G</v>
          </cell>
        </row>
        <row r="797">
          <cell r="E797" t="str">
            <v>3042 Dagupan Ext., Barangay 184 Gagalangin Tondo Manila</v>
          </cell>
        </row>
        <row r="797">
          <cell r="Q797" t="str">
            <v>R</v>
          </cell>
        </row>
        <row r="797">
          <cell r="T797" t="str">
            <v>Heran, Roberto</v>
          </cell>
        </row>
        <row r="797">
          <cell r="BS797" t="str">
            <v>Residential</v>
          </cell>
          <cell r="BT797" t="str">
            <v>Structure Owner</v>
          </cell>
        </row>
        <row r="797">
          <cell r="JR797" t="str">
            <v>Need Displacement</v>
          </cell>
        </row>
        <row r="797">
          <cell r="KI797" t="str">
            <v>Relocation</v>
          </cell>
          <cell r="KJ797" t="str">
            <v>Bulacan</v>
          </cell>
        </row>
        <row r="797">
          <cell r="KL797" t="str">
            <v>Pandi Residences (Brgy. Mapulang Lupa, Pandi, Bulacan)</v>
          </cell>
        </row>
        <row r="797">
          <cell r="KQ797" t="str">
            <v>x</v>
          </cell>
        </row>
        <row r="797">
          <cell r="KX797" t="str">
            <v>Y</v>
          </cell>
        </row>
        <row r="797">
          <cell r="KZ797" t="str">
            <v>x</v>
          </cell>
          <cell r="LA797" t="str">
            <v>x</v>
          </cell>
          <cell r="LB797" t="str">
            <v>x</v>
          </cell>
        </row>
        <row r="797">
          <cell r="LF797" t="str">
            <v>x</v>
          </cell>
        </row>
        <row r="798">
          <cell r="A798" t="str">
            <v>isf 792</v>
          </cell>
        </row>
        <row r="798">
          <cell r="C798" t="str">
            <v>MN-107H</v>
          </cell>
        </row>
        <row r="798">
          <cell r="E798" t="str">
            <v>3042 Dagupan Ext., Barangay 184 Gagalangin Tondo Manila</v>
          </cell>
        </row>
        <row r="798">
          <cell r="Q798" t="str">
            <v>R</v>
          </cell>
        </row>
        <row r="798">
          <cell r="T798" t="str">
            <v>Parungao, Reynaldo</v>
          </cell>
        </row>
        <row r="798">
          <cell r="BS798" t="str">
            <v>Residential</v>
          </cell>
          <cell r="BT798" t="str">
            <v>Structure Owner</v>
          </cell>
        </row>
        <row r="798">
          <cell r="JR798" t="str">
            <v>Need Displacement</v>
          </cell>
        </row>
        <row r="798">
          <cell r="KI798" t="str">
            <v>Relocation</v>
          </cell>
          <cell r="KJ798" t="str">
            <v>Bulacan</v>
          </cell>
        </row>
        <row r="798">
          <cell r="KL798" t="str">
            <v>Disiplina Village (Brgy Bignay, Valenzuela City)</v>
          </cell>
        </row>
        <row r="798">
          <cell r="KQ798" t="str">
            <v>x</v>
          </cell>
          <cell r="KR798" t="str">
            <v>x</v>
          </cell>
          <cell r="KS798" t="str">
            <v>x</v>
          </cell>
          <cell r="KT798" t="str">
            <v>x</v>
          </cell>
          <cell r="KU798" t="str">
            <v>x</v>
          </cell>
        </row>
        <row r="798">
          <cell r="KX798" t="str">
            <v>Y</v>
          </cell>
        </row>
        <row r="798">
          <cell r="KZ798" t="str">
            <v>x</v>
          </cell>
          <cell r="LA798" t="str">
            <v>x</v>
          </cell>
          <cell r="LB798" t="str">
            <v>x</v>
          </cell>
          <cell r="LC798" t="str">
            <v>x</v>
          </cell>
          <cell r="LD798" t="str">
            <v>x</v>
          </cell>
          <cell r="LE798" t="str">
            <v>x</v>
          </cell>
          <cell r="LF798" t="str">
            <v>x</v>
          </cell>
        </row>
        <row r="799">
          <cell r="A799" t="str">
            <v>isf 792</v>
          </cell>
        </row>
        <row r="799">
          <cell r="C799" t="str">
            <v>MN-107I</v>
          </cell>
        </row>
        <row r="799">
          <cell r="E799" t="str">
            <v>3042 Dagupan Ext., Barangay 184 Gagalangin Tondo Manila</v>
          </cell>
        </row>
        <row r="799">
          <cell r="Q799" t="str">
            <v>R</v>
          </cell>
        </row>
        <row r="799">
          <cell r="T799" t="str">
            <v>Parungao, Josefino</v>
          </cell>
        </row>
        <row r="799">
          <cell r="BS799" t="str">
            <v>Residential</v>
          </cell>
          <cell r="BT799" t="str">
            <v>Structure Owner</v>
          </cell>
        </row>
        <row r="799">
          <cell r="JR799" t="str">
            <v>Need Displacement</v>
          </cell>
        </row>
        <row r="799">
          <cell r="KI799" t="str">
            <v>Relocation</v>
          </cell>
          <cell r="KJ799" t="str">
            <v>Bulacan</v>
          </cell>
        </row>
        <row r="799">
          <cell r="KL799" t="str">
            <v>NorthVille 7, Brgy. Malis, Guiguinto Bulacan</v>
          </cell>
        </row>
        <row r="799">
          <cell r="KR799" t="str">
            <v>x</v>
          </cell>
          <cell r="KS799" t="str">
            <v>x</v>
          </cell>
          <cell r="KT799" t="str">
            <v>x</v>
          </cell>
          <cell r="KU799" t="str">
            <v>x</v>
          </cell>
        </row>
        <row r="799">
          <cell r="KX799" t="str">
            <v>Y</v>
          </cell>
        </row>
        <row r="799">
          <cell r="KZ799" t="str">
            <v>x</v>
          </cell>
        </row>
        <row r="799">
          <cell r="LB799" t="str">
            <v>x</v>
          </cell>
          <cell r="LC799" t="str">
            <v>x</v>
          </cell>
          <cell r="LD799" t="str">
            <v>x</v>
          </cell>
          <cell r="LE799" t="str">
            <v>x</v>
          </cell>
          <cell r="LF799" t="str">
            <v>x</v>
          </cell>
        </row>
        <row r="800">
          <cell r="A800" t="str">
            <v>isf</v>
          </cell>
        </row>
        <row r="800">
          <cell r="C800" t="str">
            <v>MN-108</v>
          </cell>
        </row>
        <row r="800">
          <cell r="E800" t="str">
            <v>3038 Dagupan Ext., Barangay 184 Gagalangin Tondo Manila</v>
          </cell>
        </row>
        <row r="800">
          <cell r="Q800" t="str">
            <v>R</v>
          </cell>
        </row>
        <row r="800">
          <cell r="T800" t="str">
            <v>De Vera, Clarita Roaquin</v>
          </cell>
        </row>
        <row r="800">
          <cell r="AS800">
            <v>0.182608695652174</v>
          </cell>
        </row>
        <row r="800">
          <cell r="BS800" t="str">
            <v>Residential</v>
          </cell>
          <cell r="BT800" t="str">
            <v>Structure Owner</v>
          </cell>
        </row>
        <row r="800">
          <cell r="JR800" t="str">
            <v>Can Stay</v>
          </cell>
        </row>
        <row r="801">
          <cell r="A801" t="str">
            <v>isf-sh-800</v>
          </cell>
        </row>
        <row r="801">
          <cell r="C801" t="str">
            <v>MN-108</v>
          </cell>
        </row>
        <row r="801">
          <cell r="E801" t="str">
            <v>3038 Dagupan Ext., Barangay 184 Gagalangin Tondo Manila</v>
          </cell>
        </row>
        <row r="801">
          <cell r="T801" t="str">
            <v>De Vera Jr, Teodorico</v>
          </cell>
        </row>
        <row r="801">
          <cell r="BS801" t="str">
            <v>Residential</v>
          </cell>
          <cell r="BT801" t="str">
            <v>Sharer</v>
          </cell>
        </row>
        <row r="801">
          <cell r="JR801" t="str">
            <v>Can Stay</v>
          </cell>
        </row>
        <row r="802">
          <cell r="A802" t="str">
            <v>isf-sh-800</v>
          </cell>
        </row>
        <row r="802">
          <cell r="C802" t="str">
            <v>MN-108</v>
          </cell>
        </row>
        <row r="802">
          <cell r="E802" t="str">
            <v>3038 Dagupan Ext., Barangay 184 Gagalangin Tondo Manila</v>
          </cell>
        </row>
        <row r="802">
          <cell r="T802" t="str">
            <v>De Vera, Ronaldo Roaquin</v>
          </cell>
        </row>
        <row r="802">
          <cell r="BS802" t="str">
            <v>Residential</v>
          </cell>
          <cell r="BT802" t="str">
            <v>Sharer</v>
          </cell>
        </row>
        <row r="802">
          <cell r="JR802" t="str">
            <v>Can Stay</v>
          </cell>
        </row>
        <row r="802">
          <cell r="KI802" t="str">
            <v>Cash Compensation</v>
          </cell>
        </row>
        <row r="803">
          <cell r="A803" t="str">
            <v>isf</v>
          </cell>
        </row>
        <row r="803">
          <cell r="C803" t="str">
            <v>MN-109</v>
          </cell>
        </row>
        <row r="803">
          <cell r="E803" t="str">
            <v>3034 Dagupan Ext., Barangay 184 Gagalangin Tondo Manila</v>
          </cell>
        </row>
        <row r="803">
          <cell r="Q803" t="str">
            <v>R</v>
          </cell>
        </row>
        <row r="803">
          <cell r="T803" t="str">
            <v>Macapagal, Michael</v>
          </cell>
        </row>
        <row r="803">
          <cell r="AS803">
            <v>0.766666666666667</v>
          </cell>
        </row>
        <row r="803">
          <cell r="BS803" t="str">
            <v>Residential</v>
          </cell>
          <cell r="BT803" t="str">
            <v>Structure Owner</v>
          </cell>
        </row>
        <row r="803">
          <cell r="JR803" t="str">
            <v>Need Displacement</v>
          </cell>
        </row>
        <row r="803">
          <cell r="KI803" t="str">
            <v>Cash Compensation/ Balik Probinsiya Program</v>
          </cell>
        </row>
        <row r="804">
          <cell r="A804" t="str">
            <v>isf</v>
          </cell>
        </row>
        <row r="804">
          <cell r="C804" t="str">
            <v>MN-110</v>
          </cell>
        </row>
        <row r="804">
          <cell r="E804" t="str">
            <v>3054 Dagupan Ext., Barangay 184 Gagalangin Tondo Manila</v>
          </cell>
        </row>
        <row r="804">
          <cell r="Q804" t="str">
            <v>R</v>
          </cell>
        </row>
        <row r="804">
          <cell r="T804" t="str">
            <v>Cabeltis, Ramil</v>
          </cell>
        </row>
        <row r="804">
          <cell r="AS804">
            <v>0.619047619047619</v>
          </cell>
        </row>
        <row r="804">
          <cell r="BS804" t="str">
            <v>Residential</v>
          </cell>
          <cell r="BT804" t="str">
            <v>Structure Owner</v>
          </cell>
        </row>
        <row r="804">
          <cell r="JR804" t="str">
            <v>Need Displacement</v>
          </cell>
        </row>
        <row r="804">
          <cell r="KG804">
            <v>1700</v>
          </cell>
        </row>
        <row r="804">
          <cell r="KI804" t="str">
            <v>Relocation</v>
          </cell>
          <cell r="KJ804" t="str">
            <v>In City</v>
          </cell>
        </row>
        <row r="804">
          <cell r="KL804" t="str">
            <v>Disiplina Village (Brgy Bignay, Valenzuela City)</v>
          </cell>
        </row>
        <row r="804">
          <cell r="KR804" t="str">
            <v>x</v>
          </cell>
        </row>
        <row r="804">
          <cell r="KX804" t="str">
            <v>Y</v>
          </cell>
        </row>
        <row r="804">
          <cell r="KZ804" t="str">
            <v>x</v>
          </cell>
        </row>
        <row r="804">
          <cell r="LB804" t="str">
            <v>x</v>
          </cell>
          <cell r="LC804" t="str">
            <v>x</v>
          </cell>
        </row>
        <row r="804">
          <cell r="LE804" t="str">
            <v>x</v>
          </cell>
          <cell r="LF804" t="str">
            <v>x</v>
          </cell>
        </row>
        <row r="805">
          <cell r="A805" t="str">
            <v>isf</v>
          </cell>
        </row>
        <row r="805">
          <cell r="C805" t="str">
            <v>MN-110</v>
          </cell>
        </row>
        <row r="805">
          <cell r="E805" t="str">
            <v>3054 Dagupan Ext., Barangay 184 Gagalangin Tondo Manila</v>
          </cell>
        </row>
        <row r="805">
          <cell r="Q805" t="str">
            <v>R</v>
          </cell>
        </row>
        <row r="805">
          <cell r="T805" t="str">
            <v>Pronto, Zyra</v>
          </cell>
        </row>
        <row r="805">
          <cell r="BS805" t="str">
            <v>Residential</v>
          </cell>
          <cell r="BT805" t="str">
            <v>Structure Renter</v>
          </cell>
        </row>
        <row r="805">
          <cell r="JP805">
            <v>0</v>
          </cell>
        </row>
        <row r="805">
          <cell r="JR805" t="str">
            <v>Need Displacement</v>
          </cell>
        </row>
        <row r="805">
          <cell r="KI805" t="str">
            <v>No Answer</v>
          </cell>
        </row>
        <row r="805">
          <cell r="VV805" t="str">
            <v>isf</v>
          </cell>
        </row>
        <row r="806">
          <cell r="A806" t="str">
            <v>legal</v>
          </cell>
        </row>
        <row r="806">
          <cell r="C806" t="str">
            <v>MN-111A</v>
          </cell>
        </row>
        <row r="806">
          <cell r="E806" t="str">
            <v>3026 Dagupan Ext., Barangay 184 Gagalangin Tondo Manila</v>
          </cell>
        </row>
        <row r="806">
          <cell r="Q806" t="str">
            <v>R</v>
          </cell>
        </row>
        <row r="806">
          <cell r="T806" t="str">
            <v>Mendoza, Florentina</v>
          </cell>
        </row>
        <row r="806">
          <cell r="AS806">
            <v>0.145569620253165</v>
          </cell>
        </row>
        <row r="806">
          <cell r="BS806" t="str">
            <v>Residential</v>
          </cell>
          <cell r="BT806" t="str">
            <v>Structure Owner</v>
          </cell>
        </row>
        <row r="806">
          <cell r="JR806" t="str">
            <v>Can Stay</v>
          </cell>
        </row>
        <row r="806">
          <cell r="VV806" t="str">
            <v>legal</v>
          </cell>
        </row>
        <row r="807">
          <cell r="A807" t="str">
            <v>legal 806</v>
          </cell>
        </row>
        <row r="807">
          <cell r="C807" t="str">
            <v>MN-111B</v>
          </cell>
        </row>
        <row r="807">
          <cell r="E807" t="str">
            <v>3026 Dagupan Ext., Barangay 184 Gagalangin Tondo Manila</v>
          </cell>
        </row>
        <row r="807">
          <cell r="Q807" t="str">
            <v>R</v>
          </cell>
        </row>
        <row r="807">
          <cell r="T807" t="str">
            <v>Bulaon, Amalia Matchitar</v>
          </cell>
        </row>
        <row r="807">
          <cell r="BS807" t="str">
            <v>Residential</v>
          </cell>
          <cell r="BT807" t="str">
            <v>Structure Owner</v>
          </cell>
        </row>
        <row r="807">
          <cell r="VV807" t="str">
            <v>legal 806</v>
          </cell>
        </row>
        <row r="808">
          <cell r="A808" t="str">
            <v>legal</v>
          </cell>
        </row>
        <row r="808">
          <cell r="C808" t="str">
            <v>MN-112</v>
          </cell>
        </row>
        <row r="808">
          <cell r="E808" t="str">
            <v>3022 Dagupan Ext., Barangay 184 Gagalangin Tondo Manila</v>
          </cell>
        </row>
        <row r="808">
          <cell r="Q808" t="str">
            <v>R</v>
          </cell>
        </row>
        <row r="808">
          <cell r="T808" t="str">
            <v>Tamayo, Omari</v>
          </cell>
        </row>
        <row r="808">
          <cell r="AS808">
            <v>0.184</v>
          </cell>
        </row>
        <row r="808">
          <cell r="BS808" t="str">
            <v>Residential</v>
          </cell>
          <cell r="BT808" t="str">
            <v>Structure Owner</v>
          </cell>
        </row>
        <row r="808">
          <cell r="JR808" t="str">
            <v>Can Stay</v>
          </cell>
        </row>
        <row r="808">
          <cell r="KG808">
            <v>4500</v>
          </cell>
        </row>
        <row r="808">
          <cell r="VV808" t="str">
            <v>legal</v>
          </cell>
        </row>
        <row r="809">
          <cell r="A809" t="str">
            <v>legal-r 808</v>
          </cell>
        </row>
        <row r="809">
          <cell r="C809" t="str">
            <v>MN-112</v>
          </cell>
        </row>
        <row r="809">
          <cell r="E809" t="str">
            <v>3022 Dagupan Ext., Barangay 184 Gagalangin Tondo Manila</v>
          </cell>
        </row>
        <row r="809">
          <cell r="T809" t="str">
            <v>Deodora, Francis</v>
          </cell>
        </row>
        <row r="809">
          <cell r="BS809" t="str">
            <v>Residential</v>
          </cell>
          <cell r="BT809" t="str">
            <v>Structure Renter</v>
          </cell>
        </row>
        <row r="809">
          <cell r="JR809" t="str">
            <v>Can Stay</v>
          </cell>
        </row>
        <row r="809">
          <cell r="VV809" t="str">
            <v>legal-r 808</v>
          </cell>
        </row>
        <row r="810">
          <cell r="A810" t="str">
            <v>legal-r 808</v>
          </cell>
        </row>
        <row r="810">
          <cell r="C810" t="str">
            <v>MN-112</v>
          </cell>
        </row>
        <row r="810">
          <cell r="E810" t="str">
            <v>3022 Dagupan Ext., Barangay 184 Gagalangin Tondo Manila</v>
          </cell>
        </row>
        <row r="810">
          <cell r="T810" t="str">
            <v>Baldomero, William</v>
          </cell>
        </row>
        <row r="810">
          <cell r="BS810" t="str">
            <v>Residential</v>
          </cell>
          <cell r="BT810" t="str">
            <v>Structure Renter</v>
          </cell>
        </row>
        <row r="810">
          <cell r="JP810">
            <v>0</v>
          </cell>
        </row>
        <row r="810">
          <cell r="JR810" t="str">
            <v>Can Stay</v>
          </cell>
        </row>
        <row r="810">
          <cell r="VV810" t="str">
            <v>legal-r 808</v>
          </cell>
        </row>
        <row r="811">
          <cell r="A811" t="str">
            <v>isf</v>
          </cell>
        </row>
        <row r="811">
          <cell r="C811" t="str">
            <v>MN-113</v>
          </cell>
        </row>
        <row r="811">
          <cell r="E811" t="str">
            <v>3810 Dagupan Ext., Barangay 184 Gagalangin Tondo Manila</v>
          </cell>
        </row>
        <row r="811">
          <cell r="Q811" t="str">
            <v>R</v>
          </cell>
        </row>
        <row r="811">
          <cell r="T811" t="str">
            <v>Ponce, Auxencia</v>
          </cell>
        </row>
        <row r="811">
          <cell r="AS811">
            <v>0.137254901960784</v>
          </cell>
        </row>
        <row r="811">
          <cell r="BS811" t="str">
            <v>Residential</v>
          </cell>
          <cell r="BT811" t="str">
            <v>Structure Owner</v>
          </cell>
        </row>
        <row r="811">
          <cell r="JR811" t="str">
            <v>Can Stay</v>
          </cell>
        </row>
        <row r="811">
          <cell r="KG811">
            <v>1500</v>
          </cell>
        </row>
        <row r="812">
          <cell r="A812" t="str">
            <v>isf-r-811</v>
          </cell>
        </row>
        <row r="812">
          <cell r="C812" t="str">
            <v>MN-113</v>
          </cell>
        </row>
        <row r="812">
          <cell r="E812" t="str">
            <v>3810 Dagupan Ext., Barangay 184 Gagalangin Tondo Manila</v>
          </cell>
        </row>
        <row r="812">
          <cell r="T812" t="str">
            <v>Cogay, Joselito</v>
          </cell>
        </row>
        <row r="812">
          <cell r="BS812" t="str">
            <v>Residential</v>
          </cell>
          <cell r="BT812" t="str">
            <v>Structure Renter</v>
          </cell>
        </row>
        <row r="812">
          <cell r="JP812">
            <v>450</v>
          </cell>
        </row>
        <row r="812">
          <cell r="JR812" t="str">
            <v>Can Stay</v>
          </cell>
        </row>
        <row r="813">
          <cell r="A813" t="str">
            <v>isf</v>
          </cell>
        </row>
        <row r="813">
          <cell r="C813" t="str">
            <v>MN-114</v>
          </cell>
        </row>
        <row r="813">
          <cell r="E813" t="str">
            <v>3814 Dagupan Ext., Barangay 184 Gagalangin Tondo Manila</v>
          </cell>
        </row>
        <row r="813">
          <cell r="Q813" t="str">
            <v>R</v>
          </cell>
        </row>
        <row r="813">
          <cell r="T813" t="str">
            <v>Lu, Ernesto</v>
          </cell>
        </row>
        <row r="813">
          <cell r="AS813">
            <v>0.873076923076923</v>
          </cell>
        </row>
        <row r="813">
          <cell r="BS813" t="str">
            <v>Residential</v>
          </cell>
          <cell r="BT813" t="str">
            <v>Structure Owner</v>
          </cell>
        </row>
        <row r="813">
          <cell r="JR813" t="str">
            <v>Need Displacement</v>
          </cell>
        </row>
        <row r="813">
          <cell r="KI813" t="str">
            <v>No Answer</v>
          </cell>
        </row>
        <row r="813">
          <cell r="VV813" t="str">
            <v>isf</v>
          </cell>
        </row>
        <row r="814">
          <cell r="A814" t="str">
            <v>isf-r-811</v>
          </cell>
        </row>
        <row r="814">
          <cell r="C814" t="str">
            <v>MN-114</v>
          </cell>
        </row>
        <row r="814">
          <cell r="E814" t="str">
            <v>3814 Dagupan Ext., Barangay 184 Gagalangin Tondo Manila</v>
          </cell>
        </row>
        <row r="814">
          <cell r="T814" t="str">
            <v>Valencia, Marlon</v>
          </cell>
        </row>
        <row r="814">
          <cell r="BS814" t="str">
            <v>Residential</v>
          </cell>
          <cell r="BT814" t="str">
            <v>Structure Renter</v>
          </cell>
        </row>
        <row r="814">
          <cell r="JP814">
            <v>1200</v>
          </cell>
        </row>
        <row r="814">
          <cell r="VV814" t="str">
            <v>isf-r-811</v>
          </cell>
        </row>
        <row r="815">
          <cell r="A815" t="str">
            <v>isf</v>
          </cell>
        </row>
        <row r="815">
          <cell r="C815" t="str">
            <v>MN-115</v>
          </cell>
        </row>
        <row r="815">
          <cell r="E815" t="str">
            <v>3810 Dagupan Ext., Barangay 184 Gagalangin Tondo Manila</v>
          </cell>
        </row>
        <row r="815">
          <cell r="Q815" t="str">
            <v>R</v>
          </cell>
        </row>
        <row r="815">
          <cell r="T815" t="str">
            <v>Garcia, Africa</v>
          </cell>
        </row>
        <row r="815">
          <cell r="AS815">
            <v>0.876190476190476</v>
          </cell>
        </row>
        <row r="815">
          <cell r="BS815" t="str">
            <v>Residential</v>
          </cell>
          <cell r="BT815" t="str">
            <v>Structure Owner</v>
          </cell>
        </row>
        <row r="815">
          <cell r="JR815" t="str">
            <v>Need Displacement</v>
          </cell>
        </row>
        <row r="815">
          <cell r="KI815" t="str">
            <v>Cash Compensation/ Balik Probinsiya Program</v>
          </cell>
        </row>
        <row r="815">
          <cell r="VV815" t="str">
            <v>isf</v>
          </cell>
        </row>
        <row r="816">
          <cell r="A816" t="str">
            <v>isf</v>
          </cell>
        </row>
        <row r="816">
          <cell r="C816" t="str">
            <v>MN-116</v>
          </cell>
        </row>
        <row r="816">
          <cell r="E816" t="str">
            <v>3004 Dagupan Ext., Barangay 184 Gagalangin Tondo Manila</v>
          </cell>
        </row>
        <row r="816">
          <cell r="Q816" t="str">
            <v>R</v>
          </cell>
        </row>
        <row r="816">
          <cell r="T816" t="str">
            <v>Meneses, Cesar</v>
          </cell>
        </row>
        <row r="816">
          <cell r="AS816">
            <v>0.161290322580645</v>
          </cell>
        </row>
        <row r="816">
          <cell r="BS816" t="str">
            <v>Residential</v>
          </cell>
          <cell r="BT816" t="str">
            <v>Structure Owner</v>
          </cell>
        </row>
        <row r="816">
          <cell r="JR816" t="str">
            <v>Can Stay</v>
          </cell>
        </row>
        <row r="817">
          <cell r="A817" t="str">
            <v>isf-sh-816</v>
          </cell>
        </row>
        <row r="817">
          <cell r="C817" t="str">
            <v>MN-116</v>
          </cell>
        </row>
        <row r="817">
          <cell r="E817" t="str">
            <v>3004 Dagupan Ext., Barangay 184 Gagalangin Tondo Manila</v>
          </cell>
        </row>
        <row r="817">
          <cell r="T817" t="str">
            <v>Meneses, Danilo</v>
          </cell>
        </row>
        <row r="817">
          <cell r="BS817" t="str">
            <v>Residential</v>
          </cell>
          <cell r="BT817" t="str">
            <v>Sharer</v>
          </cell>
        </row>
        <row r="817">
          <cell r="JR817" t="str">
            <v>Can Stay</v>
          </cell>
        </row>
        <row r="818">
          <cell r="A818" t="str">
            <v>isf-sh-816</v>
          </cell>
        </row>
        <row r="818">
          <cell r="C818" t="str">
            <v>MN-116</v>
          </cell>
        </row>
        <row r="818">
          <cell r="E818" t="str">
            <v>3004 Dagupan Ext., Barangay 184 Gagalangin Tondo Manila</v>
          </cell>
        </row>
        <row r="818">
          <cell r="T818" t="str">
            <v>Meneses, Lucia</v>
          </cell>
        </row>
        <row r="818">
          <cell r="BS818" t="str">
            <v>Residential</v>
          </cell>
          <cell r="BT818" t="str">
            <v>Sharer</v>
          </cell>
        </row>
        <row r="818">
          <cell r="JR818" t="str">
            <v>Can Stay</v>
          </cell>
        </row>
        <row r="819">
          <cell r="A819" t="str">
            <v>legal</v>
          </cell>
        </row>
        <row r="819">
          <cell r="C819" t="str">
            <v>MN-117</v>
          </cell>
        </row>
        <row r="819">
          <cell r="E819" t="str">
            <v>3002 Dagupan Ext., Barangay 184 Gagalangin Tondo Manila</v>
          </cell>
        </row>
        <row r="819">
          <cell r="Q819" t="str">
            <v>R</v>
          </cell>
        </row>
        <row r="819">
          <cell r="T819" t="str">
            <v>Dimanlig, Cecilia Culandia</v>
          </cell>
        </row>
        <row r="819">
          <cell r="AS819">
            <v>0.133012048192771</v>
          </cell>
        </row>
        <row r="819">
          <cell r="BS819" t="str">
            <v>Residential</v>
          </cell>
          <cell r="BT819" t="str">
            <v>Structure Owner</v>
          </cell>
        </row>
        <row r="819">
          <cell r="VV819" t="str">
            <v>legal</v>
          </cell>
        </row>
        <row r="820">
          <cell r="A820" t="str">
            <v>isf</v>
          </cell>
        </row>
        <row r="820">
          <cell r="C820" t="str">
            <v>MN-118</v>
          </cell>
        </row>
        <row r="820">
          <cell r="E820" t="str">
            <v>2996 Dagupan Ext., Barangay 184 Gagalangin Tondo Manila</v>
          </cell>
        </row>
        <row r="820">
          <cell r="Q820" t="str">
            <v>R</v>
          </cell>
        </row>
        <row r="820">
          <cell r="T820" t="str">
            <v>Santos, Adrian Perez</v>
          </cell>
        </row>
        <row r="820">
          <cell r="AS820">
            <v>0.416666666666667</v>
          </cell>
        </row>
        <row r="820">
          <cell r="BS820" t="str">
            <v>Residential</v>
          </cell>
          <cell r="BT820" t="str">
            <v>Structure Owner</v>
          </cell>
        </row>
        <row r="820">
          <cell r="JR820" t="str">
            <v>Need Displacement</v>
          </cell>
        </row>
        <row r="820">
          <cell r="KI820" t="str">
            <v>Non-dwelling</v>
          </cell>
        </row>
        <row r="821">
          <cell r="A821" t="str">
            <v>legal</v>
          </cell>
        </row>
        <row r="821">
          <cell r="C821" t="str">
            <v>MN-119</v>
          </cell>
        </row>
        <row r="821">
          <cell r="E821" t="str">
            <v>2994 Dagupan Ext., Barangay 184 Gagalangin Tondo Manila</v>
          </cell>
        </row>
        <row r="821">
          <cell r="Q821" t="str">
            <v>R</v>
          </cell>
        </row>
        <row r="821">
          <cell r="T821" t="str">
            <v>Cruz, Christopher</v>
          </cell>
        </row>
        <row r="821">
          <cell r="AS821">
            <v>0.682926829268293</v>
          </cell>
        </row>
        <row r="821">
          <cell r="BS821" t="str">
            <v>Residential</v>
          </cell>
          <cell r="BT821" t="str">
            <v>Structure Owner</v>
          </cell>
        </row>
        <row r="821">
          <cell r="JR821" t="str">
            <v>Need Displacement</v>
          </cell>
        </row>
        <row r="821">
          <cell r="KI821" t="str">
            <v>Cash Compensation</v>
          </cell>
        </row>
        <row r="821">
          <cell r="VV821" t="str">
            <v>legal</v>
          </cell>
        </row>
        <row r="822">
          <cell r="A822" t="str">
            <v>legal</v>
          </cell>
        </row>
        <row r="822">
          <cell r="C822" t="str">
            <v>MN-120</v>
          </cell>
        </row>
        <row r="822">
          <cell r="E822" t="str">
            <v>2990 Dagupan Ext., Barangay 184 Gagalangin Tondo Manila</v>
          </cell>
        </row>
        <row r="822">
          <cell r="Q822" t="str">
            <v>R</v>
          </cell>
        </row>
        <row r="822">
          <cell r="T822" t="str">
            <v>Gimenez, Nenita</v>
          </cell>
        </row>
        <row r="822">
          <cell r="AS822">
            <v>0.348837209302326</v>
          </cell>
        </row>
        <row r="822">
          <cell r="BS822" t="str">
            <v>Residential</v>
          </cell>
          <cell r="BT822" t="str">
            <v>Structure Owner</v>
          </cell>
        </row>
        <row r="822">
          <cell r="JR822" t="str">
            <v>Need Displacement</v>
          </cell>
        </row>
        <row r="822">
          <cell r="KI822" t="str">
            <v>Cash Compensation</v>
          </cell>
        </row>
        <row r="823">
          <cell r="A823" t="str">
            <v>legal 822</v>
          </cell>
        </row>
        <row r="823">
          <cell r="C823" t="str">
            <v>MN-120B</v>
          </cell>
        </row>
        <row r="823">
          <cell r="E823" t="str">
            <v>2990 Dagupan Ext., Barangay 184 Gagalangin Tondo Manila</v>
          </cell>
        </row>
        <row r="823">
          <cell r="Q823" t="str">
            <v>R</v>
          </cell>
        </row>
        <row r="823">
          <cell r="T823" t="str">
            <v>Gimenez, Nicanor Legaspe</v>
          </cell>
        </row>
        <row r="823">
          <cell r="BS823" t="str">
            <v>Residential</v>
          </cell>
          <cell r="BT823" t="str">
            <v>Structure Owner</v>
          </cell>
        </row>
        <row r="823">
          <cell r="JR823" t="str">
            <v>Can Stay</v>
          </cell>
        </row>
        <row r="823">
          <cell r="VV823" t="str">
            <v>legal 822</v>
          </cell>
        </row>
        <row r="824">
          <cell r="A824" t="str">
            <v>isf</v>
          </cell>
        </row>
        <row r="824">
          <cell r="C824" t="str">
            <v>MN-121</v>
          </cell>
        </row>
        <row r="824">
          <cell r="E824" t="str">
            <v>2986 Dagupan Ext., Barangay 184 Gagalangin Tondo Manila</v>
          </cell>
        </row>
        <row r="824">
          <cell r="Q824" t="str">
            <v>R</v>
          </cell>
        </row>
        <row r="824">
          <cell r="T824" t="str">
            <v>Marco, Norma Soriaga (No SES Details)</v>
          </cell>
        </row>
        <row r="824">
          <cell r="AS824">
            <v>0.0673076923076923</v>
          </cell>
        </row>
        <row r="824">
          <cell r="BS824" t="str">
            <v>Residential</v>
          </cell>
          <cell r="BT824" t="str">
            <v>Co-owner</v>
          </cell>
        </row>
        <row r="824">
          <cell r="JR824" t="str">
            <v>Can Stay</v>
          </cell>
        </row>
        <row r="825">
          <cell r="A825" t="str">
            <v>isf-r-825</v>
          </cell>
        </row>
        <row r="825">
          <cell r="C825" t="str">
            <v>MN-121</v>
          </cell>
        </row>
        <row r="825">
          <cell r="E825" t="str">
            <v>2986 Dagupan Ext., Barangay 184 Gagalangin Tondo Manila</v>
          </cell>
        </row>
        <row r="825">
          <cell r="T825" t="str">
            <v>Alejandro Jay-ar Martin</v>
          </cell>
        </row>
        <row r="825">
          <cell r="BS825" t="str">
            <v>Residential</v>
          </cell>
          <cell r="BT825" t="str">
            <v>Co-owner</v>
          </cell>
        </row>
        <row r="825">
          <cell r="JR825" t="str">
            <v>Can Stay</v>
          </cell>
        </row>
        <row r="825">
          <cell r="VV825" t="str">
            <v>isf-r-825</v>
          </cell>
          <cell r="VW825" t="str">
            <v>isf-r</v>
          </cell>
          <cell r="VX825" t="str">
            <v>sampling</v>
          </cell>
        </row>
        <row r="826">
          <cell r="A826" t="str">
            <v>isf-r-825</v>
          </cell>
        </row>
        <row r="826">
          <cell r="C826" t="str">
            <v>MN-121</v>
          </cell>
        </row>
        <row r="826">
          <cell r="E826" t="str">
            <v>2986 Dagupan Ext., Barangay 184 Gagalangin Tondo Manila</v>
          </cell>
        </row>
        <row r="826">
          <cell r="T826" t="str">
            <v>Nancy Gratuto (CBL)</v>
          </cell>
        </row>
        <row r="826">
          <cell r="BS826" t="str">
            <v>Residential</v>
          </cell>
          <cell r="BT826" t="str">
            <v>Co-owner</v>
          </cell>
        </row>
        <row r="826">
          <cell r="JR826" t="str">
            <v>Can Stay</v>
          </cell>
        </row>
        <row r="827">
          <cell r="A827" t="str">
            <v>isf-r-825</v>
          </cell>
        </row>
        <row r="827">
          <cell r="C827" t="str">
            <v>MN-121</v>
          </cell>
        </row>
        <row r="827">
          <cell r="E827" t="str">
            <v>2986 Dagupan Ext., Barangay 184 Gagalangin Tondo Manila</v>
          </cell>
        </row>
        <row r="827">
          <cell r="T827" t="str">
            <v>Tess Lason (CBL)</v>
          </cell>
        </row>
        <row r="827">
          <cell r="BS827" t="str">
            <v>Residential</v>
          </cell>
          <cell r="BT827" t="str">
            <v>Co-owner</v>
          </cell>
        </row>
        <row r="827">
          <cell r="JR827" t="str">
            <v>Can Stay</v>
          </cell>
        </row>
        <row r="828">
          <cell r="A828" t="str">
            <v>isf</v>
          </cell>
        </row>
        <row r="828">
          <cell r="C828" t="str">
            <v>MN-122</v>
          </cell>
        </row>
        <row r="828">
          <cell r="E828" t="str">
            <v>2982 Dagupan Ext., Barangay 184 Gagalangin Tondo Manila</v>
          </cell>
        </row>
        <row r="828">
          <cell r="Q828" t="str">
            <v>R</v>
          </cell>
        </row>
        <row r="828">
          <cell r="T828" t="str">
            <v>Fatalla, Josephine</v>
          </cell>
        </row>
        <row r="828">
          <cell r="AS828">
            <v>0.0542857142857143</v>
          </cell>
        </row>
        <row r="828">
          <cell r="BS828" t="str">
            <v>Residential</v>
          </cell>
          <cell r="BT828" t="str">
            <v>Structure Owner</v>
          </cell>
        </row>
        <row r="828">
          <cell r="JR828" t="str">
            <v>Can Stay</v>
          </cell>
        </row>
        <row r="829">
          <cell r="A829" t="str">
            <v>isf-sh-828</v>
          </cell>
        </row>
        <row r="829">
          <cell r="C829" t="str">
            <v>MN-122</v>
          </cell>
        </row>
        <row r="829">
          <cell r="E829" t="str">
            <v>2982 Dagupan Ext., Barangay 184 Gagalangin Tondo Manila</v>
          </cell>
        </row>
        <row r="829">
          <cell r="T829" t="str">
            <v>Vicente, Jayson</v>
          </cell>
        </row>
        <row r="829">
          <cell r="BS829" t="str">
            <v>Residential</v>
          </cell>
          <cell r="BT829" t="str">
            <v>Sharer</v>
          </cell>
        </row>
        <row r="829">
          <cell r="JR829" t="str">
            <v>Can Stay</v>
          </cell>
        </row>
        <row r="829">
          <cell r="KI829" t="str">
            <v>Cash Compensation</v>
          </cell>
        </row>
        <row r="830">
          <cell r="A830" t="str">
            <v>isf-r-828</v>
          </cell>
        </row>
        <row r="830">
          <cell r="C830" t="str">
            <v>MN-122</v>
          </cell>
        </row>
        <row r="830">
          <cell r="E830" t="str">
            <v>2982 Dagupan Ext., Barangay 184 Gagalangin Tondo Manila</v>
          </cell>
        </row>
        <row r="830">
          <cell r="T830" t="str">
            <v>Edgar Joaquin Lopez (CBL)</v>
          </cell>
        </row>
        <row r="830">
          <cell r="BS830" t="str">
            <v>Residential</v>
          </cell>
          <cell r="BT830" t="str">
            <v>Structure Renter</v>
          </cell>
        </row>
        <row r="830">
          <cell r="JR830" t="str">
            <v>Can Stay</v>
          </cell>
        </row>
        <row r="831">
          <cell r="A831" t="str">
            <v>isf-r-828</v>
          </cell>
        </row>
        <row r="831">
          <cell r="C831" t="str">
            <v>MN-122</v>
          </cell>
        </row>
        <row r="831">
          <cell r="E831" t="str">
            <v>2982 Dagupan Ext., Barangay 184 Gagalangin Tondo Manila</v>
          </cell>
        </row>
        <row r="831">
          <cell r="T831" t="str">
            <v>Caranto, Jacquel (CBL)</v>
          </cell>
        </row>
        <row r="831">
          <cell r="BS831" t="str">
            <v>Residential</v>
          </cell>
          <cell r="BT831" t="str">
            <v>Structure Renter</v>
          </cell>
        </row>
        <row r="831">
          <cell r="JP831">
            <v>0</v>
          </cell>
        </row>
        <row r="831">
          <cell r="JR831" t="str">
            <v>Can Stay</v>
          </cell>
        </row>
        <row r="832">
          <cell r="A832">
            <v>827</v>
          </cell>
        </row>
        <row r="832">
          <cell r="BS832">
            <v>419</v>
          </cell>
          <cell r="BT832">
            <v>601</v>
          </cell>
        </row>
        <row r="832">
          <cell r="VV832">
            <v>827</v>
          </cell>
        </row>
        <row r="836">
          <cell r="C836" t="str">
            <v>ISF</v>
          </cell>
        </row>
        <row r="837">
          <cell r="C837" t="str">
            <v>isf</v>
          </cell>
        </row>
        <row r="837">
          <cell r="E837" t="str">
            <v>Dweller</v>
          </cell>
        </row>
        <row r="838">
          <cell r="C838">
            <v>1</v>
          </cell>
        </row>
        <row r="839">
          <cell r="C839">
            <v>8</v>
          </cell>
        </row>
        <row r="840">
          <cell r="C840">
            <v>2</v>
          </cell>
        </row>
        <row r="841">
          <cell r="C841">
            <v>6</v>
          </cell>
        </row>
        <row r="841">
          <cell r="E841">
            <v>2</v>
          </cell>
        </row>
        <row r="842">
          <cell r="C842">
            <v>341</v>
          </cell>
        </row>
        <row r="842">
          <cell r="E842">
            <v>96</v>
          </cell>
        </row>
        <row r="843">
          <cell r="C843">
            <v>358</v>
          </cell>
        </row>
        <row r="843">
          <cell r="E843">
            <v>98</v>
          </cell>
        </row>
      </sheetData>
      <sheetData sheetId="16"/>
      <sheetData sheetId="17"/>
      <sheetData sheetId="18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customFormat="false" ht="15" hidden="false" customHeight="false" outlineLevel="0" collapsed="false">
      <c r="A2" s="1"/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customFormat="false" ht="15" hidden="false" customHeight="true" outlineLevel="0" collapsed="false">
      <c r="A3" s="3" t="s">
        <v>2</v>
      </c>
      <c r="B3" s="3" t="s">
        <v>3</v>
      </c>
      <c r="C3" s="3" t="s">
        <v>4</v>
      </c>
      <c r="D3" s="3"/>
      <c r="E3" s="3" t="s">
        <v>5</v>
      </c>
      <c r="F3" s="3"/>
      <c r="G3" s="3" t="s">
        <v>6</v>
      </c>
      <c r="H3" s="3"/>
      <c r="I3" s="3" t="s">
        <v>7</v>
      </c>
      <c r="J3" s="3"/>
      <c r="K3" s="3" t="s">
        <v>8</v>
      </c>
      <c r="L3" s="3"/>
      <c r="M3" s="3" t="s">
        <v>9</v>
      </c>
      <c r="N3" s="3"/>
      <c r="O3" s="3" t="s">
        <v>10</v>
      </c>
      <c r="P3" s="3"/>
      <c r="Q3" s="3" t="s">
        <v>11</v>
      </c>
      <c r="R3" s="3"/>
      <c r="S3" s="3" t="s">
        <v>12</v>
      </c>
      <c r="T3" s="3"/>
    </row>
    <row r="4" customFormat="false" ht="15" hidden="false" customHeight="tru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3" t="s">
        <v>13</v>
      </c>
      <c r="L4" s="3"/>
      <c r="M4" s="3"/>
      <c r="N4" s="3"/>
      <c r="O4" s="3" t="s">
        <v>14</v>
      </c>
      <c r="P4" s="3"/>
      <c r="Q4" s="3"/>
      <c r="R4" s="3"/>
      <c r="S4" s="3"/>
      <c r="T4" s="3"/>
    </row>
    <row r="5" customFormat="false" ht="15" hidden="false" customHeight="false" outlineLevel="0" collapsed="false">
      <c r="A5" s="3"/>
      <c r="B5" s="3"/>
      <c r="C5" s="4" t="s">
        <v>15</v>
      </c>
      <c r="D5" s="4" t="s">
        <v>16</v>
      </c>
      <c r="E5" s="4" t="s">
        <v>15</v>
      </c>
      <c r="F5" s="4" t="s">
        <v>16</v>
      </c>
      <c r="G5" s="4" t="s">
        <v>15</v>
      </c>
      <c r="H5" s="4" t="s">
        <v>16</v>
      </c>
      <c r="I5" s="4" t="s">
        <v>15</v>
      </c>
      <c r="J5" s="4" t="s">
        <v>16</v>
      </c>
      <c r="K5" s="4" t="s">
        <v>15</v>
      </c>
      <c r="L5" s="4" t="s">
        <v>16</v>
      </c>
      <c r="M5" s="4" t="s">
        <v>15</v>
      </c>
      <c r="N5" s="4" t="s">
        <v>16</v>
      </c>
      <c r="O5" s="4" t="s">
        <v>15</v>
      </c>
      <c r="P5" s="4" t="s">
        <v>16</v>
      </c>
      <c r="Q5" s="4" t="s">
        <v>15</v>
      </c>
      <c r="R5" s="4" t="s">
        <v>16</v>
      </c>
      <c r="S5" s="4" t="s">
        <v>15</v>
      </c>
      <c r="T5" s="4" t="s">
        <v>16</v>
      </c>
    </row>
    <row r="6" customFormat="false" ht="15" hidden="false" customHeight="false" outlineLevel="0" collapsed="false">
      <c r="A6" s="5" t="s">
        <v>17</v>
      </c>
      <c r="B6" s="5" t="s">
        <v>18</v>
      </c>
      <c r="C6" s="6" t="n">
        <f aca="false">COUNTIFS([1]SurveyDATA!$E$1:$E$1048576,"*TIKAY*",[1]SurveyDATA!$BS$1:$BS$1048576,"*RES*",[1]SurveyDATA!$A$1:$A$1048576,"LEGAL",[1]SurveyDATA!$JR$1:$JR$1048576,"*STAY*")</f>
        <v>0</v>
      </c>
      <c r="D6" s="6" t="n">
        <f aca="false">COUNTIFS([1]SurveyDATA!$E$1:$E$1048576,"*TIKAY*",[1]SurveyDATA!$BS$1:$BS$1048576,"*RE*",[1]SurveyDATA!$BT$1:$BT$1048576,"*STRUCTURE OWNER*",[1]SurveyDATA!$A$1:$A$1048576,"LEGAL",[1]SurveyDATA!$JR$1:$JR$1048576,"*NEED*")</f>
        <v>0</v>
      </c>
      <c r="E6" s="6" t="n">
        <f aca="false">COUNTIFS([1]SurveyDATA!$E$1:$E$1048576,"*TIKAY*",[1]SurveyDATA!$BS$1:$BS$1048576,"*MIXED*",[1]SurveyDATA!$BT$1:$BT$1048576,"*STRUCTURE OWNER*",[1]SurveyDATA!$A$1:$A$1048576,"LEGAL",[1]SurveyDATA!$JR$1:$JR$1048576,"*STAY*")</f>
        <v>0</v>
      </c>
      <c r="F6" s="6" t="n">
        <f aca="false">COUNTIFS([1]SurveyDATA!$E$1:$E$1048576,"*TIKAY*",[1]SurveyDATA!$BS$1:$BS$1048576,"*MIXED*",[1]SurveyDATA!$BT$1:$BT$1048576,"*STRUCTURE OWNER*",[1]SurveyDATA!$A$1:$A$1048576,"LEGAL",[1]SurveyDATA!$JR$1:$JR$1048576,"*NEED*")</f>
        <v>0</v>
      </c>
      <c r="G6" s="6" t="n">
        <f aca="false">COUNTIFS([1]SurveyDATA!$E$1:$E$1048576,"*TIKAY*",[1]SurveyDATA!$BS$1:$BS$1048576,"*COMMERICIAL*",[1]SurveyDATA!$BT$1:$BT$1048576,"*STRUCTURE OWNER*",[1]SurveyDATA!$A$1:$A$1048576,"LEGAL",[1]SurveyDATA!$JR$1:$JR$1048576,"*STAY*")</f>
        <v>0</v>
      </c>
      <c r="H6" s="6" t="n">
        <f aca="false">COUNTIFS([1]SurveyDATA!$E$1:$E$1048576,"*TIKAY*",[1]SurveyDATA!$BS$1:$BS$1048576,"*COMMERCIAL*",[1]SurveyDATA!$BT$1:$BT$1048576,"*STRUCTURE OWNER*",[1]SurveyDATA!$A$1:$A$1048576,"LEGAL",[1]SurveyDATA!$JR$1:$JR$1048576,"*NEED*")</f>
        <v>0</v>
      </c>
      <c r="I6" s="6" t="n">
        <f aca="false">COUNTIFS([1]SurveyDATA!$E$1:$E$1048576,"*TIKAY*",[1]SurveyDATA!$BS$1:$BS$1048576,"*INSTITUTIONAL*",[1]SurveyDATA!$BT$1:$BT$1048576,"*STRUCTURE OWNER*",[1]SurveyDATA!$A$1:$A$1048576,"LEGAL",[1]SurveyDATA!$JR$1:$JR$1048576,"*STAY*")</f>
        <v>0</v>
      </c>
      <c r="J6" s="6" t="n">
        <f aca="false">COUNTIFS([1]SurveyDATA!$E$1:$E$1048576,"*TIKAY*",[1]SurveyDATA!$BS$1:$BS$1048576,"*INSTITUTIONAL*",[1]SurveyDATA!$BT$1:$BT$1048576,"*STRUCTURE OWNER*",[1]SurveyDATA!$A$1:$A$1048576,"LEGAL",[1]SurveyDATA!$JR$1:$JR$1048576,"*NEED*")</f>
        <v>0</v>
      </c>
      <c r="K6" s="6" t="n">
        <f aca="false">COUNTIFS([1]SurveyDATA!$E$1:$E$1048576,"*TIKAY*",[1]SurveyDATA!$BS$1:$BS$1048576,"RESIDENTIAL*",[1]SurveyDATA!$BT$1:$BT$1048576,"*STRUCTURE RENTER*",[1]SurveyDATA!$A$1:$A$1048576,"LEGAL",[1]SurveyDATA!$JR$1:$JR$1048576,"*STAY*")</f>
        <v>0</v>
      </c>
      <c r="L6" s="6" t="n">
        <f aca="false">COUNTIFS([1]SurveyDATA!$E$1:$E$1048576,"*TIKAY*",[1]SurveyDATA!$BS$1:$BS$1048576,"RESIDENTIAL*",[1]SurveyDATA!$BT$1:$BT$1048576,"*STRUCTURE RENTER*",[1]SurveyDATA!$A$1:$A$1048576,"LEGAL",[1]SurveyDATA!$JR$1:$JR$1048576,"*NEED*")</f>
        <v>0</v>
      </c>
      <c r="M6" s="6" t="n">
        <f aca="false">COUNTIFS([1]SurveyDATA!$E$1:$E$1048576,"*TIKAY*",[1]SurveyDATA!$BS$1:$BS$1048576,"RESIDENTIAL*",[1]SurveyDATA!$BT$1:$BT$1048576,"*STRUCTURE OWNER*",[1]SurveyDATA!$A$1:$A$1048576,"LEGAL",[1]SurveyDATA!$JR$1:$JR$1048576,"*STAY*",[1]SurveyDATA!AS$1:AS$1048576,"*ABSENTEE*")</f>
        <v>0</v>
      </c>
      <c r="N6" s="6" t="n">
        <f aca="false">COUNTIFS([1]SurveyDATA!$E$1:$E$1048576,"*TIKAY*",[1]SurveyDATA!$BS$1:$BS$1048576,"RESIDENTIAL*",[1]SurveyDATA!$BT$1:$BT$1048576,"*STRUCTURE OWNER*",[1]SurveyDATA!$A$1:$A$1048576,"LEGAL",[1]SurveyDATA!$JR$1:$JR$1048576,"*NEED*",[1]SurveyDATA!AS$1:AS$1048576,"*ABSENTEE*")</f>
        <v>0</v>
      </c>
      <c r="O6" s="7" t="e">
        <f aca="false">COUNTIFS([1]surveydata!#ref!,"*LEGAL*",[1]surveydata!#ref!,"*TIKAY*",[1]SurveyDATA!Q$1:Q$1048576,"LAND OWNER",[1]SurveyDATA!AS$1:AS$1048576,"")</f>
        <v>#NAME?</v>
      </c>
      <c r="P6" s="7" t="e">
        <f aca="false">COUNTIFS([1]surveydata!#ref!,"*LEGAL*",[1]surveydata!#ref!,"*TIKAY*",[1]SurveyDATA!Q$1:Q$1048576,"LAND OWNER",[1]SurveyDATA!AS$1:AS$1048576,"")</f>
        <v>#NAME?</v>
      </c>
      <c r="Q6" s="8"/>
      <c r="R6" s="8"/>
      <c r="S6" s="7" t="e">
        <f aca="false">SUM(Q6,O6,M6,K6,I6,G6,K6,E6,C6,)</f>
        <v>#NAME?</v>
      </c>
      <c r="T6" s="7" t="e">
        <f aca="false">SUM(R6,P6,N6,L6,J6,H6,L6,F6,D6,)</f>
        <v>#NAME?</v>
      </c>
    </row>
    <row r="7" customFormat="false" ht="15" hidden="false" customHeight="false" outlineLevel="0" collapsed="false">
      <c r="A7" s="5"/>
      <c r="B7" s="5" t="s">
        <v>19</v>
      </c>
      <c r="C7" s="6" t="n">
        <f aca="false">COUNTIFS([1]SurveyDATA!$E$1:$E$1048576,"*BULIHAN*",[1]SurveyDATA!$BS$1:$BS$1048576,"*RESIDENTIAL*",[1]SurveyDATA!$BT$1:$BT$1048576,"*STRUCTURE OWNER*",[1]SurveyDATA!$A$1:$A$1048576,"LEGAL",[1]SurveyDATA!$JR$1:$JR$1048576,"*STAY*")</f>
        <v>2</v>
      </c>
      <c r="D7" s="6" t="n">
        <f aca="false">COUNTIFS([1]SurveyDATA!$E$1:$E$1048576,"*BULIHAN*",[1]SurveyDATA!$BS$1:$BS$1048576,"*RESIDENTIAL*",[1]SurveyDATA!$BT$1:$BT$1048576,"*STRUCTURE OWNER*",[1]SurveyDATA!$A$1:$A$1048576,"LEGAL",[1]SurveyDATA!$JR$1:$JR$1048576,"*NEED*")</f>
        <v>1</v>
      </c>
      <c r="E7" s="6" t="n">
        <f aca="false">COUNTIFS([1]SurveyDATA!$E$1:$E$1048576,"*TIKAY*",[1]SurveyDATA!$BS$1:$BS$1048576,"*MIXED*",[1]SurveyDATA!$BT$1:$BT$1048576,"*STRUCTURE OWNER*",[1]SurveyDATA!$A$1:$A$1048576,"LEGAL",[1]SurveyDATA!$JR$1:$JR$1048576,"*STAY*")</f>
        <v>0</v>
      </c>
      <c r="F7" s="6" t="n">
        <f aca="false">COUNTIFS([1]SurveyDATA!$E$1:$E$1048576,"*TIKAY*",[1]SurveyDATA!$BS$1:$BS$1048576,"*MIXED*",[1]SurveyDATA!$BT$1:$BT$1048576,"*STRUCTURE OWNER*",[1]SurveyDATA!$A$1:$A$1048576,"LEGAL",[1]SurveyDATA!$JR$1:$JR$1048576,"*NEED*")</f>
        <v>0</v>
      </c>
      <c r="G7" s="6" t="n">
        <f aca="false">COUNTIFS([1]SurveyDATA!$E$1:$E$1048576,"*BULIHAN*",[1]SurveyDATA!$BS$1:$BS$1048576,"*COMMERICIAL*",[1]SurveyDATA!$BT$1:$BT$1048576,"*STRUCTURE OWNER*",[1]SurveyDATA!$A$1:$A$1048576,"LEGAL",[1]SurveyDATA!$JR$1:$JR$1048576,"*STAY*")</f>
        <v>0</v>
      </c>
      <c r="H7" s="6" t="n">
        <f aca="false">COUNTIFS([1]SurveyDATA!$E$1:$E$1048576,"*BULIHAN*",[1]SurveyDATA!$BS$1:$BS$1048576,"*COMMERCIAL*",[1]SurveyDATA!$BT$1:$BT$1048576,"*STRUCTURE OWNER*",[1]SurveyDATA!$A$1:$A$1048576,"LEGAL",[1]SurveyDATA!$JR$1:$JR$1048576,"*NEED*")</f>
        <v>0</v>
      </c>
      <c r="I7" s="6" t="n">
        <f aca="false">COUNTIFS([1]SurveyDATA!$E$1:$E$1048576,"*BULIHAN*",[1]SurveyDATA!$BS$1:$BS$1048576,"*INSTITUTIONAL*",[1]SurveyDATA!$BT$1:$BT$1048576,"*STRUCTURE OWNER*",[1]SurveyDATA!$A$1:$A$1048576,"LEGAL",[1]SurveyDATA!$JR$1:$JR$1048576,"*STAY*")</f>
        <v>0</v>
      </c>
      <c r="J7" s="6" t="n">
        <f aca="false">COUNTIFS([1]SurveyDATA!$E$1:$E$1048576,"*BULIHAN*",[1]SurveyDATA!$BS$1:$BS$1048576,"*INSTITUTIONAL*",[1]SurveyDATA!$BT$1:$BT$1048576,"*STRUCTURE OWNER*",[1]SurveyDATA!$A$1:$A$1048576,"LEGAL",[1]SurveyDATA!$JR$1:$JR$1048576,"*NEED*")</f>
        <v>0</v>
      </c>
      <c r="K7" s="6" t="n">
        <f aca="false">COUNTIFS([1]SurveyDATA!$E$1:$E$1048576,"*BULIHAN*",[1]SurveyDATA!$BS$1:$BS$1048576,"RESIDENTIAL*",[1]SurveyDATA!$BT$1:$BT$1048576,"*STRUCTURE RENTER*",[1]SurveyDATA!$A$1:$A$1048576,"LEGAL",[1]SurveyDATA!$JR$1:$JR$1048576,"*STAY*")</f>
        <v>0</v>
      </c>
      <c r="L7" s="6" t="n">
        <f aca="false">COUNTIFS([1]SurveyDATA!$E$1:$E$1048576,"*BULIHAN*",[1]SurveyDATA!$BS$1:$BS$1048576,"RESIDENTIAL*",[1]SurveyDATA!$BT$1:$BT$1048576,"*STRUCTURE RENTER*",[1]SurveyDATA!$A$1:$A$1048576,"LEGAL",[1]SurveyDATA!$JR$1:$JR$1048576,"*NEED*")</f>
        <v>0</v>
      </c>
      <c r="M7" s="6" t="n">
        <f aca="false">COUNTIFS([1]SurveyDATA!$E$1:$E$1048576,"*BULIHAN*",[1]SurveyDATA!$BS$1:$BS$1048576,"RESIDENTIAL*",[1]SurveyDATA!$BT$1:$BT$1048576,"*STRUCTURE OWNER*",[1]SurveyDATA!$A$1:$A$1048576,"LEGAL",[1]SurveyDATA!$JR$1:$JR$1048576,"*STAY*",[1]SurveyDATA!AS$1:AS$1048576,"*ABSENTEE*")</f>
        <v>0</v>
      </c>
      <c r="N7" s="6" t="n">
        <f aca="false">COUNTIFS([1]SurveyDATA!$E$1:$E$1048576,"*BULIHAN*",[1]SurveyDATA!$BS$1:$BS$1048576,"RESIDENTIAL*",[1]SurveyDATA!$BT$1:$BT$1048576,"*STRUCTURE OWNER*",[1]SurveyDATA!$A$1:$A$1048576,"LEGAL",[1]SurveyDATA!$JR$1:$JR$1048576,"*NEED*",[1]SurveyDATA!AS$1:AS$1048576,"*ABSENTEE*")</f>
        <v>0</v>
      </c>
      <c r="O7" s="7" t="e">
        <f aca="false">COUNTIFS([1]surveydata!#ref!,"*LEGAL*",[1]surveydata!#ref!,"*BULIHAN*",[1]SurveyDATA!Q$1:Q$1048576,"LAND OWNER",[1]SurveyDATA!AS$1:AS$1048576,"")</f>
        <v>#NAME?</v>
      </c>
      <c r="P7" s="7" t="e">
        <f aca="false">COUNTIFS([1]surveydata!#ref!,"*LEGAL*",[1]surveydata!#ref!,"*BULIHAN*",[1]SurveyDATA!Q$1:Q$1048576,"LAND OWNER",[1]SurveyDATA!AS$1:AS$1048576,"")</f>
        <v>#NAME?</v>
      </c>
      <c r="Q7" s="8"/>
      <c r="R7" s="8"/>
      <c r="S7" s="7" t="e">
        <f aca="false">SUM(Q7,O7,M7,K7,I7,G7,K7,E7,C7,)</f>
        <v>#NAME?</v>
      </c>
      <c r="T7" s="7" t="e">
        <f aca="false">SUM(R7,P7,N7,L7,J7,H7,L7,F7,D7,)</f>
        <v>#NAME?</v>
      </c>
    </row>
    <row r="8" customFormat="false" ht="15" hidden="false" customHeight="false" outlineLevel="0" collapsed="false">
      <c r="A8" s="5"/>
      <c r="B8" s="5" t="s">
        <v>20</v>
      </c>
      <c r="C8" s="6" t="n">
        <f aca="false">COUNTIFS([1]SurveyDATA!$E$1:$E$1048576,"*PABLO*",[1]SurveyDATA!$BS$1:$BS$1048576,"*RESIDENTIAL*",[1]SurveyDATA!$BT$1:$BT$1048576,"*STRUCTURE OWNER*",[1]SurveyDATA!$A$1:$A$1048576,"LEGAL",[1]SurveyDATA!$JR$1:$JR$1048576,"*STAY*")</f>
        <v>0</v>
      </c>
      <c r="D8" s="6" t="n">
        <f aca="false">COUNTIFS([1]SurveyDATA!$E$1:$E$1048576,"*PABLO*",[1]SurveyDATA!$BS$1:$BS$1048576,"*RESIDENTIAL*",[1]SurveyDATA!$BT$1:$BT$1048576,"*STRUCTURE OWNER*",[1]SurveyDATA!$A$1:$A$1048576,"LEGAL",[1]SurveyDATA!$JR$1:$JR$1048576,"*NEED*")</f>
        <v>1</v>
      </c>
      <c r="E8" s="6" t="n">
        <f aca="false">COUNTIFS([1]SurveyDATA!$E$1:$E$1048576,"*TIKAY*",[1]SurveyDATA!$BS$1:$BS$1048576,"*MIXED*",[1]SurveyDATA!$BT$1:$BT$1048576,"*STRUCTURE OWNER*",[1]SurveyDATA!$A$1:$A$1048576,"LEGAL",[1]SurveyDATA!$JR$1:$JR$1048576,"*STAY*")</f>
        <v>0</v>
      </c>
      <c r="F8" s="6" t="n">
        <f aca="false">COUNTIFS([1]SurveyDATA!$E$1:$E$1048576,"*TIKAY*",[1]SurveyDATA!$BS$1:$BS$1048576,"*MIXED*",[1]SurveyDATA!$BT$1:$BT$1048576,"*STRUCTURE OWNER*",[1]SurveyDATA!$A$1:$A$1048576,"LEGAL",[1]SurveyDATA!$JR$1:$JR$1048576,"*NEED*")</f>
        <v>0</v>
      </c>
      <c r="G8" s="6" t="n">
        <f aca="false">COUNTIFS([1]SurveyDATA!$E$1:$E$1048576,"*PABLO*",[1]SurveyDATA!$BS$1:$BS$1048576,"*COMMERICIAL*",[1]SurveyDATA!$BT$1:$BT$1048576,"*STRUCTURE OWNER*",[1]SurveyDATA!$A$1:$A$1048576,"LEGAL",[1]SurveyDATA!$JR$1:$JR$1048576,"*STAY*")</f>
        <v>0</v>
      </c>
      <c r="H8" s="6" t="n">
        <f aca="false">COUNTIFS([1]SurveyDATA!$E$1:$E$1048576,"*PABLO*",[1]SurveyDATA!$BS$1:$BS$1048576,"*COMMERCIAL*",[1]SurveyDATA!$BT$1:$BT$1048576,"*STRUCTURE OWNER*",[1]SurveyDATA!$A$1:$A$1048576,"LEGAL",[1]SurveyDATA!$JR$1:$JR$1048576,"*NEED*")</f>
        <v>0</v>
      </c>
      <c r="I8" s="6" t="n">
        <f aca="false">COUNTIFS([1]SurveyDATA!$E$1:$E$1048576,"*PABLO*",[1]SurveyDATA!$BS$1:$BS$1048576,"*INSTITUTIONAL*",[1]SurveyDATA!$BT$1:$BT$1048576,"*STRUCTURE OWNER*",[1]SurveyDATA!$A$1:$A$1048576,"LEGAL",[1]SurveyDATA!$JR$1:$JR$1048576,"*STAY*")</f>
        <v>0</v>
      </c>
      <c r="J8" s="6" t="n">
        <f aca="false">COUNTIFS([1]SurveyDATA!$E$1:$E$1048576,"*PABLO*",[1]SurveyDATA!$BS$1:$BS$1048576,"*INSTITUTIONAL*",[1]SurveyDATA!$BT$1:$BT$1048576,"*STRUCTURE OWNER*",[1]SurveyDATA!$A$1:$A$1048576,"LEGAL",[1]SurveyDATA!$JR$1:$JR$1048576,"*NEED*")</f>
        <v>0</v>
      </c>
      <c r="K8" s="6" t="n">
        <f aca="false">COUNTIFS([1]SurveyDATA!$E$1:$E$1048576,"*PABLO*",[1]SurveyDATA!$BS$1:$BS$1048576,"RESIDENTIAL*",[1]SurveyDATA!$BT$1:$BT$1048576,"*STRUCTURE RENTER*",[1]SurveyDATA!$A$1:$A$1048576,"LEGAL",[1]SurveyDATA!$JR$1:$JR$1048576,"*STAY*")</f>
        <v>0</v>
      </c>
      <c r="L8" s="6" t="n">
        <f aca="false">COUNTIFS([1]SurveyDATA!$E$1:$E$1048576,"*PABLO*",[1]SurveyDATA!$BS$1:$BS$1048576,"RESIDENTIAL*",[1]SurveyDATA!$BT$1:$BT$1048576,"*STRUCTURE RENTER*",[1]SurveyDATA!$A$1:$A$1048576,"LEGAL",[1]SurveyDATA!$JR$1:$JR$1048576,"*NEED*")</f>
        <v>0</v>
      </c>
      <c r="M8" s="6" t="n">
        <f aca="false">COUNTIFS([1]SurveyDATA!$E$1:$E$1048576,"*PABLO*",[1]SurveyDATA!$BS$1:$BS$1048576,"RESIDENTIAL*",[1]SurveyDATA!$BT$1:$BT$1048576,"*STRUCTURE OWNER*",[1]SurveyDATA!$A$1:$A$1048576,"LEGAL",[1]SurveyDATA!$JR$1:$JR$1048576,"*STAY*",[1]SurveyDATA!AS$1:AS$1048576,"*ABSENTEE*")</f>
        <v>0</v>
      </c>
      <c r="N8" s="6" t="n">
        <f aca="false">COUNTIFS([1]SurveyDATA!$E$1:$E$1048576,"*PABLO*",[1]SurveyDATA!$BS$1:$BS$1048576,"RESIDENTIAL*",[1]SurveyDATA!$BT$1:$BT$1048576,"*STRUCTURE OWNER*",[1]SurveyDATA!$A$1:$A$1048576,"LEGAL",[1]SurveyDATA!$JR$1:$JR$1048576,"*NEED*",[1]SurveyDATA!AS$1:AS$1048576,"*ABSENTEE*")</f>
        <v>0</v>
      </c>
      <c r="O8" s="7" t="e">
        <f aca="false">COUNTIFS([1]surveydata!#ref!,"*LEGAL*",[1]surveydata!#ref!,"*PABLO*",[1]SurveyDATA!Q$1:Q$1048576,"LAND OWNER",[1]SurveyDATA!AS$1:AS$1048576,"")</f>
        <v>#NAME?</v>
      </c>
      <c r="P8" s="7" t="e">
        <f aca="false">COUNTIFS([1]surveydata!#ref!,"*LEGAL*",[1]surveydata!#ref!,"*PABLO*",[1]SurveyDATA!Q$1:Q$1048576,"LAND OWNER",[1]SurveyDATA!AS$1:AS$1048576,"")</f>
        <v>#NAME?</v>
      </c>
      <c r="Q8" s="8"/>
      <c r="R8" s="8"/>
      <c r="S8" s="7" t="e">
        <f aca="false">SUM(Q8,O8,M8,K8,I8,G8,K8,E8,C8,)</f>
        <v>#NAME?</v>
      </c>
      <c r="T8" s="7" t="e">
        <f aca="false">SUM(R8,P8,N8,L8,J8,H8,L8,F8,D8,)</f>
        <v>#NAME?</v>
      </c>
    </row>
    <row r="9" customFormat="false" ht="15" hidden="false" customHeight="false" outlineLevel="0" collapsed="false">
      <c r="A9" s="5"/>
      <c r="B9" s="5" t="s">
        <v>21</v>
      </c>
      <c r="C9" s="6" t="n">
        <f aca="false">COUNTIFS([1]SurveyDATA!$E$1:$E$1048576,"*CATMON*",[1]SurveyDATA!$BS$1:$BS$1048576,"*RESIDENTIAL*",[1]SurveyDATA!$BT$1:$BT$1048576,"*STRUCTURE OWNER*",[1]SurveyDATA!$A$1:$A$1048576,"LEGAL",[1]SurveyDATA!$JR$1:$JR$1048576,"*STAY*")</f>
        <v>2</v>
      </c>
      <c r="D9" s="6" t="n">
        <f aca="false">COUNTIFS([1]SurveyDATA!$E$1:$E$1048576,"*CATMON*",[1]SurveyDATA!$BS$1:$BS$1048576,"*RESIDENTIAL*",[1]SurveyDATA!$BT$1:$BT$1048576,"*STRUCTURE OWNER*",[1]SurveyDATA!$A$1:$A$1048576,"LEGAL",[1]SurveyDATA!$JR$1:$JR$1048576,"*NEED*")</f>
        <v>1</v>
      </c>
      <c r="E9" s="6" t="n">
        <f aca="false">COUNTIFS([1]SurveyDATA!$E$1:$E$1048576,"*TIKAY*",[1]SurveyDATA!$BS$1:$BS$1048576,"*MIXED*",[1]SurveyDATA!$BT$1:$BT$1048576,"*STRUCTURE OWNER*",[1]SurveyDATA!$A$1:$A$1048576,"LEGAL",[1]SurveyDATA!$JR$1:$JR$1048576,"*STAY*")</f>
        <v>0</v>
      </c>
      <c r="F9" s="6" t="n">
        <f aca="false">COUNTIFS([1]SurveyDATA!$E$1:$E$1048576,"*TIKAY*",[1]SurveyDATA!$BS$1:$BS$1048576,"*MIXED*",[1]SurveyDATA!$BT$1:$BT$1048576,"*STRUCTURE OWNER*",[1]SurveyDATA!$A$1:$A$1048576,"LEGAL",[1]SurveyDATA!$JR$1:$JR$1048576,"*NEED*")</f>
        <v>0</v>
      </c>
      <c r="G9" s="6" t="n">
        <f aca="false">COUNTIFS([1]SurveyDATA!$E$1:$E$1048576,"*CATMON*",[1]SurveyDATA!$BS$1:$BS$1048576,"*COMMERICIAL*",[1]SurveyDATA!$BT$1:$BT$1048576,"*STRUCTURE OWNER*",[1]SurveyDATA!$A$1:$A$1048576,"LEGAL",[1]SurveyDATA!$JR$1:$JR$1048576,"*STAY*")</f>
        <v>0</v>
      </c>
      <c r="H9" s="6" t="n">
        <f aca="false">COUNTIFS([1]SurveyDATA!$E$1:$E$1048576,"*CATMON*",[1]SurveyDATA!$BS$1:$BS$1048576,"*COMMERCIAL*",[1]SurveyDATA!$BT$1:$BT$1048576,"*STRUCTURE OWNER*",[1]SurveyDATA!$A$1:$A$1048576,"LEGAL",[1]SurveyDATA!$JR$1:$JR$1048576,"*NEED*")</f>
        <v>2</v>
      </c>
      <c r="I9" s="6" t="n">
        <f aca="false">COUNTIFS([1]SurveyDATA!$E$1:$E$1048576,"*CATMON*",[1]SurveyDATA!$BS$1:$BS$1048576,"*INSTITUTIONAL*",[1]SurveyDATA!$BT$1:$BT$1048576,"*STRUCTURE OWNER*",[1]SurveyDATA!$A$1:$A$1048576,"LEGAL",[1]SurveyDATA!$JR$1:$JR$1048576,"*STAY*")</f>
        <v>0</v>
      </c>
      <c r="J9" s="6" t="n">
        <f aca="false">COUNTIFS([1]SurveyDATA!$E$1:$E$1048576,"*CATMON*",[1]SurveyDATA!$BS$1:$BS$1048576,"*INSTITUTIONAL*",[1]SurveyDATA!$BT$1:$BT$1048576,"*STRUCTURE OWNER*",[1]SurveyDATA!$A$1:$A$1048576,"LEGAL",[1]SurveyDATA!$JR$1:$JR$1048576,"*NEED*")</f>
        <v>0</v>
      </c>
      <c r="K9" s="6" t="n">
        <f aca="false">COUNTIFS([1]SurveyDATA!$E$1:$E$1048576,"*CATMON*",[1]SurveyDATA!$BS$1:$BS$1048576,"RESIDENTIAL*",[1]SurveyDATA!$BT$1:$BT$1048576,"*STRUCTURE RENTER*",[1]SurveyDATA!$A$1:$A$1048576,"LEGAL",[1]SurveyDATA!$JR$1:$JR$1048576,"*STAY*")</f>
        <v>0</v>
      </c>
      <c r="L9" s="6" t="n">
        <f aca="false">COUNTIFS([1]SurveyDATA!$E$1:$E$1048576,"*CATMON*",[1]SurveyDATA!$BS$1:$BS$1048576,"RESIDENTIAL*",[1]SurveyDATA!$BT$1:$BT$1048576,"*STRUCTURE RENTER*",[1]SurveyDATA!$A$1:$A$1048576,"LEGAL",[1]SurveyDATA!$JR$1:$JR$1048576,"*NEED*")</f>
        <v>0</v>
      </c>
      <c r="M9" s="6" t="n">
        <f aca="false">COUNTIFS([1]SurveyDATA!$E$1:$E$1048576,"*CATMON*",[1]SurveyDATA!$BS$1:$BS$1048576,"RESIDENTIAL*",[1]SurveyDATA!$BT$1:$BT$1048576,"*STRUCTURE OWNER*",[1]SurveyDATA!$A$1:$A$1048576,"LEGAL",[1]SurveyDATA!$JR$1:$JR$1048576,"*STAY*",[1]SurveyDATA!AS$1:AS$1048576,"*ABSENTEE*")</f>
        <v>0</v>
      </c>
      <c r="N9" s="6" t="n">
        <f aca="false">COUNTIFS([1]SurveyDATA!$E$1:$E$1048576,"*CATMON*",[1]SurveyDATA!$BS$1:$BS$1048576,"RESIDENTIAL*",[1]SurveyDATA!$BT$1:$BT$1048576,"*STRUCTURE OWNER*",[1]SurveyDATA!$A$1:$A$1048576,"LEGAL",[1]SurveyDATA!$JR$1:$JR$1048576,"*NEED*",[1]SurveyDATA!AS$1:AS$1048576,"*ABSENTEE*")</f>
        <v>0</v>
      </c>
      <c r="O9" s="7" t="e">
        <f aca="false">COUNTIFS([1]surveydata!#ref!,"*LEGAL*",[1]surveydata!#ref!,"*CATMON*",[1]SurveyDATA!Q$1:Q$1048576,"LAND OWNER",[1]SurveyDATA!AS$1:AS$1048576,"")</f>
        <v>#NAME?</v>
      </c>
      <c r="P9" s="7" t="e">
        <f aca="false">COUNTIFS([1]surveydata!#ref!,"*LEGAL*",[1]surveydata!#ref!,"*CATMON*",[1]SurveyDATA!Q$1:Q$1048576,"LAND OWNER",[1]SurveyDATA!AS$1:AS$1048576,"")</f>
        <v>#NAME?</v>
      </c>
      <c r="Q9" s="8"/>
      <c r="R9" s="8"/>
      <c r="S9" s="7" t="e">
        <f aca="false">SUM(Q9,O9,M9,K9,I9,G9,K9,E9,C9,)</f>
        <v>#NAME?</v>
      </c>
      <c r="T9" s="7" t="e">
        <f aca="false">SUM(R9,P9,N9,L9,J9,H9,L9,F9,D9,)</f>
        <v>#NAME?</v>
      </c>
    </row>
    <row r="10" customFormat="false" ht="15" hidden="false" customHeight="false" outlineLevel="0" collapsed="false">
      <c r="A10" s="9"/>
      <c r="B10" s="10" t="s">
        <v>22</v>
      </c>
      <c r="C10" s="11" t="n">
        <f aca="false">SUM(C6:C9)</f>
        <v>4</v>
      </c>
      <c r="D10" s="11" t="n">
        <f aca="false">SUM(D6:D9)</f>
        <v>3</v>
      </c>
      <c r="E10" s="11" t="n">
        <f aca="false">SUM(E6:E9)</f>
        <v>0</v>
      </c>
      <c r="F10" s="11" t="n">
        <f aca="false">SUM(F6:F9)</f>
        <v>0</v>
      </c>
      <c r="G10" s="11" t="n">
        <f aca="false">SUM(G6:G9)</f>
        <v>0</v>
      </c>
      <c r="H10" s="11" t="n">
        <f aca="false">SUM(H6:H9)</f>
        <v>2</v>
      </c>
      <c r="I10" s="11" t="n">
        <f aca="false">SUM(I6:I9)</f>
        <v>0</v>
      </c>
      <c r="J10" s="11" t="n">
        <f aca="false">SUM(J6:J9)</f>
        <v>0</v>
      </c>
      <c r="K10" s="11" t="n">
        <f aca="false">SUM(K6:K9)</f>
        <v>0</v>
      </c>
      <c r="L10" s="11" t="n">
        <f aca="false">SUM(L6:L9)</f>
        <v>0</v>
      </c>
      <c r="M10" s="11" t="n">
        <f aca="false">SUM(M6:M9)</f>
        <v>0</v>
      </c>
      <c r="N10" s="11" t="n">
        <f aca="false">SUM(N6:N9)</f>
        <v>0</v>
      </c>
      <c r="O10" s="11" t="e">
        <f aca="false">SUM(O6:O9)</f>
        <v>#NAME?</v>
      </c>
      <c r="P10" s="11" t="e">
        <f aca="false">SUM(P6:P9)</f>
        <v>#NAME?</v>
      </c>
      <c r="Q10" s="11" t="n">
        <f aca="false">SUM(Q6:Q9)</f>
        <v>0</v>
      </c>
      <c r="R10" s="11" t="n">
        <f aca="false">SUM(R6:R9)</f>
        <v>0</v>
      </c>
      <c r="S10" s="11" t="e">
        <f aca="false">SUM(S6:S9)</f>
        <v>#NAME?</v>
      </c>
      <c r="T10" s="11" t="e">
        <f aca="false">SUM(T6:T9)</f>
        <v>#NAME?</v>
      </c>
    </row>
    <row r="11" customFormat="false" ht="15" hidden="false" customHeight="false" outlineLevel="0" collapsed="false">
      <c r="A11" s="5" t="s">
        <v>23</v>
      </c>
      <c r="B11" s="5" t="s">
        <v>24</v>
      </c>
      <c r="C11" s="6" t="n">
        <f aca="false">COUNTIFS([1]SurveyDATA!$E$1:$E$1048576,"*POBLACION*",[1]SurveyDATA!$BS$1:$BS$1048576,"*RESIDENTIAL*",[1]SurveyDATA!$BT$1:$BT$1048576,"*STRUCTURE OWNER*",[1]SurveyDATA!$A$1:$A$1048576,"LEGAL",[1]SurveyDATA!$JR$1:$JR$1048576,"*STAY*")</f>
        <v>0</v>
      </c>
      <c r="D11" s="6" t="n">
        <f aca="false">COUNTIFS([1]SurveyDATA!$E$1:$E$1048576,"*CATMON*",[1]SurveyDATA!$BS$1:$BS$1048576,"*RESIDENTIAL*",[1]SurveyDATA!$BT$1:$BT$1048576,"*STRUCTURE OWNER*",[1]SurveyDATA!$A$1:$A$1048576,"LEGAL",[1]SurveyDATA!$JR$1:$JR$1048576,"*NEED*")</f>
        <v>1</v>
      </c>
      <c r="E11" s="6" t="n">
        <f aca="false">COUNTIFS([1]SurveyDATA!$E$1:$E$1048576,"*POBLACION*",[1]SurveyDATA!$BS$1:$BS$1048576,"*MIXED*",[1]SurveyDATA!$BT$1:$BT$1048576,"*STRUCTURE OWNER*",[1]SurveyDATA!$A$1:$A$1048576,"LEGAL",[1]SurveyDATA!$JR$1:$JR$1048576,"*STAY*")</f>
        <v>0</v>
      </c>
      <c r="F11" s="6" t="n">
        <f aca="false">COUNTIFS([1]SurveyDATA!$E$1:$E$1048576,"*POBLACION*",[1]SurveyDATA!$BS$1:$BS$1048576,"*MIXED*",[1]SurveyDATA!$BT$1:$BT$1048576,"*STRUCTURE OWNER*",[1]SurveyDATA!$A$1:$A$1048576,"LEGAL",[1]SurveyDATA!$JR$1:$JR$1048576,"*NEED*")</f>
        <v>0</v>
      </c>
      <c r="G11" s="6" t="n">
        <f aca="false">COUNTIFS([1]SurveyDATA!$E$1:$E$1048576,"*POBLACION*",[1]SurveyDATA!$BS$1:$BS$1048576,"*COMMERICIAL*",[1]SurveyDATA!$BT$1:$BT$1048576,"*STRUCTURE OWNER*",[1]SurveyDATA!$A$1:$A$1048576,"LEGAL",[1]SurveyDATA!$JR$1:$JR$1048576,"*STAY*")</f>
        <v>0</v>
      </c>
      <c r="H11" s="6" t="n">
        <f aca="false">COUNTIFS([1]SurveyDATA!$E$1:$E$1048576,"*POBLACION*",[1]SurveyDATA!$BS$1:$BS$1048576,"*COMMERCIAL*",[1]SurveyDATA!$BT$1:$BT$1048576,"*STRUCTURE OWNER*",[1]SurveyDATA!$A$1:$A$1048576,"LEGAL",[1]SurveyDATA!$JR$1:$JR$1048576,"*NEED*")</f>
        <v>0</v>
      </c>
      <c r="I11" s="6" t="n">
        <f aca="false">COUNTIFS([1]SurveyDATA!$E$1:$E$1048576,"*POBLACION*",[1]SurveyDATA!$BS$1:$BS$1048576,"*INSTITUTIONAL*",[1]SurveyDATA!$BT$1:$BT$1048576,"*STRUCTURE OWNER*",[1]SurveyDATA!$A$1:$A$1048576,"LEGAL",[1]SurveyDATA!$JR$1:$JR$1048576,"*STAY*")</f>
        <v>0</v>
      </c>
      <c r="J11" s="6" t="n">
        <f aca="false">COUNTIFS([1]SurveyDATA!$E$1:$E$1048576,"*POBLACION*",[1]SurveyDATA!$BS$1:$BS$1048576,"*INSTITUTIONAL*",[1]SurveyDATA!$BT$1:$BT$1048576,"*STRUCTURE OWNER*",[1]SurveyDATA!$A$1:$A$1048576,"LEGAL",[1]SurveyDATA!$JR$1:$JR$1048576,"*NEED*")</f>
        <v>1</v>
      </c>
      <c r="K11" s="6" t="n">
        <f aca="false">COUNTIFS([1]SurveyDATA!$E$1:$E$1048576,"*POBLACION*",[1]SurveyDATA!$BS$1:$BS$1048576,"RESIDENTIAL*",[1]SurveyDATA!$BT$1:$BT$1048576,"*STRUCTURE RENTER*",[1]SurveyDATA!$A$1:$A$1048576,"LEGAL",[1]SurveyDATA!$JR$1:$JR$1048576,"*STAY*")</f>
        <v>0</v>
      </c>
      <c r="L11" s="6" t="n">
        <f aca="false">COUNTIFS([1]SurveyDATA!$E$1:$E$1048576,"*POBLACION*",[1]SurveyDATA!$BS$1:$BS$1048576,"RESIDENTIAL*",[1]SurveyDATA!$BT$1:$BT$1048576,"*STRUCTURE RENTER*",[1]SurveyDATA!$A$1:$A$1048576,"LEGAL",[1]SurveyDATA!$JR$1:$JR$1048576,"*NEED*")</f>
        <v>0</v>
      </c>
      <c r="M11" s="6" t="n">
        <f aca="false">COUNTIFS([1]SurveyDATA!$E$1:$E$1048576,"*POBLACION*",[1]SurveyDATA!$BS$1:$BS$1048576,"RESIDENTIAL*",[1]SurveyDATA!$BT$1:$BT$1048576,"*STRUCTURE OWNER*",[1]SurveyDATA!$A$1:$A$1048576,"LEGAL",[1]SurveyDATA!$JR$1:$JR$1048576,"*STAY*",[1]SurveyDATA!AS$1:AS$1048576,"*ABSENTEE*")</f>
        <v>0</v>
      </c>
      <c r="N11" s="6" t="n">
        <f aca="false">COUNTIFS([1]SurveyDATA!$E$1:$E$1048576,"*POBLACION*",[1]SurveyDATA!$BS$1:$BS$1048576,"RESIDENTIAL*",[1]SurveyDATA!$BT$1:$BT$1048576,"*STRUCTURE OWNER*",[1]SurveyDATA!$A$1:$A$1048576,"LEGAL",[1]SurveyDATA!$JR$1:$JR$1048576,"*NEED*",[1]SurveyDATA!AS$1:AS$1048576,"*ABSENTEE*")</f>
        <v>0</v>
      </c>
      <c r="O11" s="7" t="e">
        <f aca="false">COUNTIFS([1]surveydata!#ref!,"*LEGAL*",[1]surveydata!#ref!,"*POBLACION*",[1]SurveyDATA!Q$1:Q$1048576,"LAND OWNER",[1]SurveyDATA!T$1:T$1048576,"&lt;20%",[1]SurveyDATA!AS$1:AS$1048576,"")</f>
        <v>#NAME?</v>
      </c>
      <c r="P11" s="7" t="e">
        <f aca="false">COUNTIFS([1]surveydata!#ref!,"*LEGAL*",[1]surveydata!#ref!,"*POBLACION*",[1]SurveyDATA!Q$1:Q$1048576,"LAND OWNER",[1]SurveyDATA!T$1:T$1048576,"&gt;20%",[1]SurveyDATA!AS$1:AS$1048576,"")</f>
        <v>#NAME?</v>
      </c>
      <c r="Q11" s="8"/>
      <c r="R11" s="8"/>
      <c r="S11" s="7" t="e">
        <f aca="false">SUM(Q11,O11,M11,K11,I11,G11,K11,E11,C11,)</f>
        <v>#NAME?</v>
      </c>
      <c r="T11" s="7" t="e">
        <f aca="false">SUM(R11,P11,N11,L11,J11,H11,L11,F11,D11,)</f>
        <v>#NAME?</v>
      </c>
    </row>
    <row r="12" customFormat="false" ht="15" hidden="false" customHeight="false" outlineLevel="0" collapsed="false">
      <c r="A12" s="5"/>
      <c r="B12" s="5" t="s">
        <v>25</v>
      </c>
      <c r="C12" s="6" t="n">
        <f aca="false">COUNTIFS([1]SurveyDATA!$E$1:$E$1048576,"*CATMON*",[1]SurveyDATA!$BS$1:$BS$1048576,"*RESIDENTIAL*",[1]SurveyDATA!$BT$1:$BT$1048576,"*STRUCTURE OWNER*",[1]SurveyDATA!$A$1:$A$1048576,"LEGAL",[1]SurveyDATA!$JR$1:$JR$1048576,"*STAY*")</f>
        <v>2</v>
      </c>
      <c r="D12" s="6" t="n">
        <f aca="false">COUNTIFS([1]SurveyDATA!$E$1:$E$1048576,"*CATMON*",[1]SurveyDATA!$BS$1:$BS$1048576,"*RESIDENTIAL*",[1]SurveyDATA!$BT$1:$BT$1048576,"*STRUCTURE OWNER*",[1]SurveyDATA!$A$1:$A$1048576,"LEGAL",[1]SurveyDATA!$JR$1:$JR$1048576,"*NEED*")</f>
        <v>1</v>
      </c>
      <c r="E12" s="6" t="n">
        <f aca="false">COUNTIFS([1]SurveyDATA!$E$1:$E$1048576,"*TUKTUKAN*",[1]SurveyDATA!$BS$1:$BS$1048576,"*MIXED*",[1]SurveyDATA!$BT$1:$BT$1048576,"*STRUCTURE OWNER*",[1]SurveyDATA!$A$1:$A$1048576,"LEGAL",[1]SurveyDATA!$JR$1:$JR$1048576,"*STAY*")</f>
        <v>0</v>
      </c>
      <c r="F12" s="6" t="n">
        <f aca="false">COUNTIFS([1]SurveyDATA!$E$1:$E$1048576,"*TUKTUKAN*",[1]SurveyDATA!$BS$1:$BS$1048576,"*MIXED*",[1]SurveyDATA!$BT$1:$BT$1048576,"*STRUCTURE OWNER*",[1]SurveyDATA!$A$1:$A$1048576,"LEGAL",[1]SurveyDATA!$JR$1:$JR$1048576,"*NEED*")</f>
        <v>0</v>
      </c>
      <c r="G12" s="6" t="n">
        <f aca="false">COUNTIFS([1]SurveyDATA!$E$1:$E$1048576,"*TUKTUKAN*",[1]SurveyDATA!$BS$1:$BS$1048576,"*COMMERICIAL*",[1]SurveyDATA!$BT$1:$BT$1048576,"*STRUCTURE OWNER*",[1]SurveyDATA!$A$1:$A$1048576,"LEGAL",[1]SurveyDATA!$JR$1:$JR$1048576,"*STAY*")</f>
        <v>0</v>
      </c>
      <c r="H12" s="6" t="n">
        <f aca="false">COUNTIFS([1]SurveyDATA!$E$1:$E$1048576,"*TUKTUKAN*",[1]SurveyDATA!$BS$1:$BS$1048576,"*COMMERCIAL*",[1]SurveyDATA!$BT$1:$BT$1048576,"*STRUCTURE OWNER*",[1]SurveyDATA!$A$1:$A$1048576,"LEGAL",[1]SurveyDATA!$JR$1:$JR$1048576,"*NEED*")</f>
        <v>0</v>
      </c>
      <c r="I12" s="6" t="n">
        <f aca="false">COUNTIFS([1]SurveyDATA!$E$1:$E$1048576,"*TUKTUKAN*",[1]SurveyDATA!$BS$1:$BS$1048576,"*INSTITUTIONAL*",[1]SurveyDATA!$BT$1:$BT$1048576,"*STRUCTURE OWNER*",[1]SurveyDATA!$A$1:$A$1048576,"LEGAL",[1]SurveyDATA!$JR$1:$JR$1048576,"*STAY*")</f>
        <v>0</v>
      </c>
      <c r="J12" s="6" t="n">
        <f aca="false">COUNTIFS([1]SurveyDATA!$E$1:$E$1048576,"*TUKTUKAN*",[1]SurveyDATA!$BS$1:$BS$1048576,"*INSTITUTIONAL*",[1]SurveyDATA!$BT$1:$BT$1048576,"*STRUCTURE OWNER*",[1]SurveyDATA!$A$1:$A$1048576,"LEGAL",[1]SurveyDATA!$JR$1:$JR$1048576,"*NEED*")</f>
        <v>0</v>
      </c>
      <c r="K12" s="6" t="n">
        <f aca="false">COUNTIFS([1]SurveyDATA!$E$1:$E$1048576,"*TUKTUKAN*",[1]SurveyDATA!$BS$1:$BS$1048576,"RESIDENTIAL*",[1]SurveyDATA!$BT$1:$BT$1048576,"*STRUCTURE RENTER*",[1]SurveyDATA!$A$1:$A$1048576,"LEGAL",[1]SurveyDATA!$JR$1:$JR$1048576,"*STAY*")</f>
        <v>0</v>
      </c>
      <c r="L12" s="6" t="n">
        <f aca="false">COUNTIFS([1]SurveyDATA!$E$1:$E$1048576,"*TUKTUKAN*",[1]SurveyDATA!$BS$1:$BS$1048576,"RESIDENTIAL*",[1]SurveyDATA!$BT$1:$BT$1048576,"*STRUCTURE RENTER*",[1]SurveyDATA!$A$1:$A$1048576,"LEGAL",[1]SurveyDATA!$JR$1:$JR$1048576,"*NEED*")</f>
        <v>0</v>
      </c>
      <c r="M12" s="6" t="n">
        <f aca="false">COUNTIFS([1]SurveyDATA!$E$1:$E$1048576,"*TUKTUKAN*",[1]SurveyDATA!$BS$1:$BS$1048576,"RESIDENTIAL*",[1]SurveyDATA!$BT$1:$BT$1048576,"*STRUCTURE OWNER*",[1]SurveyDATA!$A$1:$A$1048576,"LEGAL",[1]SurveyDATA!$JR$1:$JR$1048576,"*STAY*",[1]SurveyDATA!AS$1:AS$1048576,"*ABSENTEE*")</f>
        <v>0</v>
      </c>
      <c r="N12" s="6" t="n">
        <f aca="false">COUNTIFS([1]SurveyDATA!$E$1:$E$1048576,"*TUKTUKAN*",[1]SurveyDATA!$BS$1:$BS$1048576,"RESIDENTIAL*",[1]SurveyDATA!$BT$1:$BT$1048576,"*STRUCTURE OWNER*",[1]SurveyDATA!$A$1:$A$1048576,"LEGAL",[1]SurveyDATA!$JR$1:$JR$1048576,"*NEED*",[1]SurveyDATA!AS$1:AS$1048576,"*ABSENTEE*")</f>
        <v>0</v>
      </c>
      <c r="O12" s="7" t="e">
        <f aca="false">COUNTIFS([1]surveydata!#ref!,"*LEGAL*",[1]surveydata!#ref!,"*TUKTUKAN*",[1]SurveyDATA!Q$1:Q$1048576,"LAND OWNER",[1]SurveyDATA!T$1:T$1048576,"&lt;20%",[1]SurveyDATA!AS$1:AS$1048576,"")</f>
        <v>#NAME?</v>
      </c>
      <c r="P12" s="7" t="e">
        <f aca="false">COUNTIFS([1]surveydata!#ref!,"*LEGAL*",[1]surveydata!#ref!,"*TUKTUKAN*",[1]SurveyDATA!Q$1:Q$1048576,"LAND OWNER",[1]SurveyDATA!T$1:T$1048576,"&gt;20%",[1]SurveyDATA!AS$1:AS$1048576,"")</f>
        <v>#NAME?</v>
      </c>
      <c r="Q12" s="8"/>
      <c r="R12" s="8"/>
      <c r="S12" s="7" t="e">
        <f aca="false">SUM(Q12,O12,M12,K12,I12,G12,K12,E12,C12,)</f>
        <v>#NAME?</v>
      </c>
      <c r="T12" s="7" t="e">
        <f aca="false">SUM(R12,P12,N12,L12,J12,H12,L12,F12,D12,)</f>
        <v>#NAME?</v>
      </c>
    </row>
    <row r="13" customFormat="false" ht="15" hidden="false" customHeight="false" outlineLevel="0" collapsed="false">
      <c r="A13" s="5"/>
      <c r="B13" s="5" t="s">
        <v>26</v>
      </c>
      <c r="C13" s="6" t="n">
        <f aca="false">COUNTIFS([1]SurveyDATA!$E$1:$E$1048576,"*CATMON*",[1]SurveyDATA!$BS$1:$BS$1048576,"*RESIDENTIAL*",[1]SurveyDATA!$BT$1:$BT$1048576,"*STRUCTURE OWNER*",[1]SurveyDATA!$A$1:$A$1048576,"LEGAL",[1]SurveyDATA!$JR$1:$JR$1048576,"*STAY*")</f>
        <v>2</v>
      </c>
      <c r="D13" s="6" t="n">
        <f aca="false">COUNTIFS([1]SurveyDATA!$E$1:$E$1048576,"*CATMON*",[1]SurveyDATA!$BS$1:$BS$1048576,"*RESIDENTIAL*",[1]SurveyDATA!$BT$1:$BT$1048576,"*STRUCTURE OWNER*",[1]SurveyDATA!$A$1:$A$1048576,"LEGAL",[1]SurveyDATA!$JR$1:$JR$1048576,"*NEED*")</f>
        <v>1</v>
      </c>
      <c r="E13" s="6" t="n">
        <f aca="false">COUNTIFS([1]SurveyDATA!$E$1:$E$1048576,"*CRUZ*",[1]SurveyDATA!$BS$1:$BS$1048576,"*MIXED*",[1]SurveyDATA!$BT$1:$BT$1048576,"*STRUCTURE OWNER*",[1]SurveyDATA!$A$1:$A$1048576,"LEGAL",[1]SurveyDATA!$JR$1:$JR$1048576,"*STAY*")</f>
        <v>0</v>
      </c>
      <c r="F13" s="6" t="n">
        <f aca="false">COUNTIFS([1]SurveyDATA!$E$1:$E$1048576,"*CRUZ*",[1]SurveyDATA!$BS$1:$BS$1048576,"*MIXED*",[1]SurveyDATA!$BT$1:$BT$1048576,"*STRUCTURE OWNER*",[1]SurveyDATA!$A$1:$A$1048576,"LEGAL",[1]SurveyDATA!$JR$1:$JR$1048576,"*NEED*")</f>
        <v>0</v>
      </c>
      <c r="G13" s="6" t="n">
        <f aca="false">COUNTIFS([1]SurveyDATA!$E$1:$E$1048576,"*CRUZ*",[1]SurveyDATA!$BS$1:$BS$1048576,"*COMMERICIAL*",[1]SurveyDATA!$BT$1:$BT$1048576,"*STRUCTURE OWNER*",[1]SurveyDATA!$A$1:$A$1048576,"LEGAL",[1]SurveyDATA!$JR$1:$JR$1048576,"*STAY*")</f>
        <v>0</v>
      </c>
      <c r="H13" s="6" t="n">
        <f aca="false">COUNTIFS([1]SurveyDATA!$E$1:$E$1048576,"*CRUZ*",[1]SurveyDATA!$BS$1:$BS$1048576,"*COMMERCIAL*",[1]SurveyDATA!$BT$1:$BT$1048576,"*STRUCTURE OWNER*",[1]SurveyDATA!$A$1:$A$1048576,"LEGAL",[1]SurveyDATA!$JR$1:$JR$1048576,"*NEED*")</f>
        <v>0</v>
      </c>
      <c r="I13" s="6" t="n">
        <f aca="false">COUNTIFS([1]SurveyDATA!$E$1:$E$1048576,"*CRUZ*",[1]SurveyDATA!$BS$1:$BS$1048576,"*INSTITUTIONAL*",[1]SurveyDATA!$BT$1:$BT$1048576,"*STRUCTURE OWNER*",[1]SurveyDATA!$A$1:$A$1048576,"LEGAL",[1]SurveyDATA!$JR$1:$JR$1048576,"*STAY*")</f>
        <v>0</v>
      </c>
      <c r="J13" s="6" t="n">
        <f aca="false">COUNTIFS([1]SurveyDATA!$E$1:$E$1048576,"*CRUZ*",[1]SurveyDATA!$BS$1:$BS$1048576,"*INSTITUTIONAL*",[1]SurveyDATA!$BT$1:$BT$1048576,"*STRUCTURE OWNER*",[1]SurveyDATA!$A$1:$A$1048576,"LEGAL",[1]SurveyDATA!$JR$1:$JR$1048576,"*NEED*")</f>
        <v>0</v>
      </c>
      <c r="K13" s="6" t="n">
        <f aca="false">COUNTIFS([1]SurveyDATA!$E$1:$E$1048576,"*CRUZ*",[1]SurveyDATA!$BS$1:$BS$1048576,"RESIDENTIAL*",[1]SurveyDATA!$BT$1:$BT$1048576,"*STRUCTURE RENTER*",[1]SurveyDATA!$A$1:$A$1048576,"LEGAL",[1]SurveyDATA!$JR$1:$JR$1048576,"*STAY*")</f>
        <v>0</v>
      </c>
      <c r="L13" s="6" t="n">
        <f aca="false">COUNTIFS([1]SurveyDATA!$E$1:$E$1048576,"*CRUZ*",[1]SurveyDATA!$BS$1:$BS$1048576,"RESIDENTIAL*",[1]SurveyDATA!$BT$1:$BT$1048576,"*STRUCTURE RENTER*",[1]SurveyDATA!$A$1:$A$1048576,"LEGAL",[1]SurveyDATA!$JR$1:$JR$1048576,"*NEED*")</f>
        <v>0</v>
      </c>
      <c r="M13" s="6" t="n">
        <f aca="false">COUNTIFS([1]SurveyDATA!$E$1:$E$1048576,"*CRUZ*",[1]SurveyDATA!$BS$1:$BS$1048576,"RESIDENTIAL*",[1]SurveyDATA!$BT$1:$BT$1048576,"*STRUCTURE OWNER*",[1]SurveyDATA!$A$1:$A$1048576,"LEGAL",[1]SurveyDATA!$JR$1:$JR$1048576,"*STAY*",[1]SurveyDATA!AS$1:AS$1048576,"*ABSENTEE*")</f>
        <v>0</v>
      </c>
      <c r="N13" s="6" t="n">
        <f aca="false">COUNTIFS([1]SurveyDATA!$E$1:$E$1048576,"*CRUZ*",[1]SurveyDATA!$BS$1:$BS$1048576,"RESIDENTIAL*",[1]SurveyDATA!$BT$1:$BT$1048576,"*STRUCTURE OWNER*",[1]SurveyDATA!$A$1:$A$1048576,"LEGAL",[1]SurveyDATA!$JR$1:$JR$1048576,"*NEED*",[1]SurveyDATA!AS$1:AS$1048576,"*ABSENTEE*")</f>
        <v>0</v>
      </c>
      <c r="O13" s="7" t="e">
        <f aca="false">COUNTIFS([1]surveydata!#ref!,"*LEGAL*",[1]surveydata!#ref!,"*CRUZ*",[1]SurveyDATA!Q$1:Q$1048576,"LAND OWNER",[1]SurveyDATA!T$1:T$1048576,"&lt;20%",[1]SurveyDATA!AS$1:AS$1048576,"")</f>
        <v>#NAME?</v>
      </c>
      <c r="P13" s="7" t="e">
        <f aca="false">COUNTIFS([1]surveydata!#ref!,"*LEGAL*",[1]surveydata!#ref!,"*CRUZ*",[1]SurveyDATA!Q$1:Q$1048576,"LAND OWNER",[1]SurveyDATA!T$1:T$1048576,"&gt;20%",[1]SurveyDATA!AS$1:AS$1048576,"")</f>
        <v>#NAME?</v>
      </c>
      <c r="Q13" s="8"/>
      <c r="R13" s="8"/>
      <c r="S13" s="7" t="e">
        <f aca="false">SUM(Q13,O13,M13,K13,I13,G13,K13,E13,C13,)</f>
        <v>#NAME?</v>
      </c>
      <c r="T13" s="7" t="e">
        <f aca="false">SUM(R13,P13,N13,L13,J13,H13,L13,F13,D13,)</f>
        <v>#NAME?</v>
      </c>
    </row>
    <row r="14" customFormat="false" ht="15" hidden="false" customHeight="false" outlineLevel="0" collapsed="false">
      <c r="A14" s="5"/>
      <c r="B14" s="5" t="s">
        <v>27</v>
      </c>
      <c r="C14" s="6" t="n">
        <f aca="false">COUNTIFS([1]SurveyDATA!$E$1:$E$1048576,"*CATMON*",[1]SurveyDATA!$BS$1:$BS$1048576,"*RESIDENTIAL*",[1]SurveyDATA!$BT$1:$BT$1048576,"*STRUCTURE OWNER*",[1]SurveyDATA!$A$1:$A$1048576,"LEGAL",[1]SurveyDATA!$JR$1:$JR$1048576,"*STAY*")</f>
        <v>2</v>
      </c>
      <c r="D14" s="6" t="n">
        <f aca="false">COUNTIFS([1]SurveyDATA!$E$1:$E$1048576,"*CATMON*",[1]SurveyDATA!$BS$1:$BS$1048576,"*RESIDENTIAL*",[1]SurveyDATA!$BT$1:$BT$1048576,"*STRUCTURE OWNER*",[1]SurveyDATA!$A$1:$A$1048576,"LEGAL",[1]SurveyDATA!$JR$1:$JR$1048576,"*NEED*")</f>
        <v>1</v>
      </c>
      <c r="E14" s="6" t="n">
        <f aca="false">COUNTIFS([1]SurveyDATA!$E$1:$E$1048576,"*TABANG*",[1]SurveyDATA!$BS$1:$BS$1048576,"*MIXED*",[1]SurveyDATA!$BT$1:$BT$1048576,"*STRUCTURE OWNER*",[1]SurveyDATA!$A$1:$A$1048576,"LEGAL",[1]SurveyDATA!$JR$1:$JR$1048576,"*STAY*")</f>
        <v>0</v>
      </c>
      <c r="F14" s="6" t="n">
        <f aca="false">COUNTIFS([1]SurveyDATA!$E$1:$E$1048576,"*TABANG*",[1]SurveyDATA!$BS$1:$BS$1048576,"*MIXED*",[1]SurveyDATA!$BT$1:$BT$1048576,"*STRUCTURE OWNER*",[1]SurveyDATA!$A$1:$A$1048576,"LEGAL",[1]SurveyDATA!$JR$1:$JR$1048576,"*NEED*")</f>
        <v>0</v>
      </c>
      <c r="G14" s="6" t="n">
        <f aca="false">COUNTIFS([1]SurveyDATA!$E$1:$E$1048576,"*TABANG*",[1]SurveyDATA!$BS$1:$BS$1048576,"*COMMERICIAL*",[1]SurveyDATA!$BT$1:$BT$1048576,"*STRUCTURE OWNER*",[1]SurveyDATA!$A$1:$A$1048576,"LEGAL",[1]SurveyDATA!$JR$1:$JR$1048576,"*STAY*")</f>
        <v>0</v>
      </c>
      <c r="H14" s="6" t="n">
        <f aca="false">COUNTIFS([1]SurveyDATA!$E$1:$E$1048576,"*TABANG*",[1]SurveyDATA!$BS$1:$BS$1048576,"*COMMERCIAL*",[1]SurveyDATA!$BT$1:$BT$1048576,"*STRUCTURE OWNER*",[1]SurveyDATA!$A$1:$A$1048576,"LEGAL",[1]SurveyDATA!$JR$1:$JR$1048576,"*NEED*")</f>
        <v>0</v>
      </c>
      <c r="I14" s="6" t="n">
        <f aca="false">COUNTIFS([1]SurveyDATA!$E$1:$E$1048576,"*TABANG*",[1]SurveyDATA!$BS$1:$BS$1048576,"*INSTITUTIONAL*",[1]SurveyDATA!$BT$1:$BT$1048576,"*STRUCTURE OWNER*",[1]SurveyDATA!$A$1:$A$1048576,"LEGAL",[1]SurveyDATA!$JR$1:$JR$1048576,"*STAY*")</f>
        <v>0</v>
      </c>
      <c r="J14" s="6" t="n">
        <f aca="false">COUNTIFS([1]SurveyDATA!$E$1:$E$1048576,"*TABANG*",[1]SurveyDATA!$BS$1:$BS$1048576,"*INSTITUTIONAL*",[1]SurveyDATA!$BT$1:$BT$1048576,"*STRUCTURE OWNER*",[1]SurveyDATA!$A$1:$A$1048576,"LEGAL",[1]SurveyDATA!$JR$1:$JR$1048576,"*NEED*")</f>
        <v>1</v>
      </c>
      <c r="K14" s="6" t="n">
        <f aca="false">COUNTIFS([1]SurveyDATA!$E$1:$E$1048576,"*TABANG*",[1]SurveyDATA!$BS$1:$BS$1048576,"RESIDENTIAL*",[1]SurveyDATA!$BT$1:$BT$1048576,"*STRUCTURE RENTER*",[1]SurveyDATA!$A$1:$A$1048576,"LEGAL",[1]SurveyDATA!$JR$1:$JR$1048576,"*STAY*")</f>
        <v>0</v>
      </c>
      <c r="L14" s="6" t="n">
        <f aca="false">COUNTIFS([1]SurveyDATA!$E$1:$E$1048576,"*TABANG*",[1]SurveyDATA!$BS$1:$BS$1048576,"RESIDENTIAL*",[1]SurveyDATA!$BT$1:$BT$1048576,"*STRUCTURE RENTER*",[1]SurveyDATA!$A$1:$A$1048576,"LEGAL",[1]SurveyDATA!$JR$1:$JR$1048576,"*NEED*")</f>
        <v>0</v>
      </c>
      <c r="M14" s="6" t="n">
        <f aca="false">COUNTIFS([1]SurveyDATA!$E$1:$E$1048576,"*TABANG*",[1]SurveyDATA!$BS$1:$BS$1048576,"RESIDENTIAL*",[1]SurveyDATA!$BT$1:$BT$1048576,"*STRUCTURE OWNER*",[1]SurveyDATA!$A$1:$A$1048576,"LEGAL",[1]SurveyDATA!$JR$1:$JR$1048576,"*STAY*",[1]SurveyDATA!AS$1:AS$1048576,"*ABSENTEE*")</f>
        <v>0</v>
      </c>
      <c r="N14" s="6" t="n">
        <f aca="false">COUNTIFS([1]SurveyDATA!$E$1:$E$1048576,"*TABANG*",[1]SurveyDATA!$BS$1:$BS$1048576,"RESIDENTIAL*",[1]SurveyDATA!$BT$1:$BT$1048576,"*STRUCTURE OWNER*",[1]SurveyDATA!$A$1:$A$1048576,"LEGAL",[1]SurveyDATA!$JR$1:$JR$1048576,"*NEED*",[1]SurveyDATA!AS$1:AS$1048576,"*ABSENTEE*")</f>
        <v>0</v>
      </c>
      <c r="O14" s="7" t="e">
        <f aca="false">COUNTIFS([1]surveydata!#ref!,"*LEGAL*",[1]surveydata!#ref!,"*TABANG*",[1]SurveyDATA!Q$1:Q$1048576,"LAND OWNER",[1]SurveyDATA!T$1:T$1048576,"&lt;20%",[1]SurveyDATA!AS$1:AS$1048576,"")</f>
        <v>#NAME?</v>
      </c>
      <c r="P14" s="7" t="e">
        <f aca="false">COUNTIFS([1]surveydata!#ref!,"*LEGAL*",[1]surveydata!#ref!,"*TABANG*",[1]SurveyDATA!Q$1:Q$1048576,"LAND OWNER",[1]SurveyDATA!T$1:T$1048576,"&gt;20%",[1]SurveyDATA!AS$1:AS$1048576,"")</f>
        <v>#NAME?</v>
      </c>
      <c r="Q14" s="8"/>
      <c r="R14" s="8"/>
      <c r="S14" s="7" t="e">
        <f aca="false">SUM(Q14,O14,M14,K14,I14,G14,K14,E14,C14,)</f>
        <v>#NAME?</v>
      </c>
      <c r="T14" s="7" t="e">
        <f aca="false">SUM(R14,P14,N14,L14,J14,H14,L14,F14,D14,)</f>
        <v>#NAME?</v>
      </c>
    </row>
    <row r="15" customFormat="false" ht="15" hidden="false" customHeight="false" outlineLevel="0" collapsed="false">
      <c r="A15" s="9"/>
      <c r="B15" s="10" t="s">
        <v>22</v>
      </c>
      <c r="C15" s="11" t="n">
        <f aca="false">SUM(C11:C14)</f>
        <v>6</v>
      </c>
      <c r="D15" s="11" t="n">
        <f aca="false">SUM(D11:D14)</f>
        <v>4</v>
      </c>
      <c r="E15" s="11" t="n">
        <f aca="false">SUM(E11:E14)</f>
        <v>0</v>
      </c>
      <c r="F15" s="11" t="n">
        <f aca="false">SUM(F11:F14)</f>
        <v>0</v>
      </c>
      <c r="G15" s="11" t="n">
        <f aca="false">SUM(G11:G14)</f>
        <v>0</v>
      </c>
      <c r="H15" s="11" t="n">
        <f aca="false">SUM(H11:H14)</f>
        <v>0</v>
      </c>
      <c r="I15" s="11" t="n">
        <f aca="false">SUM(I11:I14)</f>
        <v>0</v>
      </c>
      <c r="J15" s="11" t="n">
        <f aca="false">SUM(J11:J14)</f>
        <v>2</v>
      </c>
      <c r="K15" s="11" t="n">
        <f aca="false">SUM(K11:K14)</f>
        <v>0</v>
      </c>
      <c r="L15" s="11" t="n">
        <f aca="false">SUM(L11:L14)</f>
        <v>0</v>
      </c>
      <c r="M15" s="11" t="n">
        <f aca="false">SUM(M11:M14)</f>
        <v>0</v>
      </c>
      <c r="N15" s="11" t="n">
        <f aca="false">SUM(N11:N14)</f>
        <v>0</v>
      </c>
      <c r="O15" s="11" t="e">
        <f aca="false">SUM(O11:O14)</f>
        <v>#NAME?</v>
      </c>
      <c r="P15" s="11" t="e">
        <f aca="false">SUM(P11:P14)</f>
        <v>#NAME?</v>
      </c>
      <c r="Q15" s="11" t="n">
        <f aca="false">SUM(Q11:Q14)</f>
        <v>0</v>
      </c>
      <c r="R15" s="11" t="n">
        <f aca="false">SUM(R11:R14)</f>
        <v>0</v>
      </c>
      <c r="S15" s="11" t="e">
        <f aca="false">SUM(S11:S14)</f>
        <v>#NAME?</v>
      </c>
      <c r="T15" s="11" t="e">
        <f aca="false">SUM(T11:T14)</f>
        <v>#NAME?</v>
      </c>
    </row>
    <row r="16" customFormat="false" ht="15" hidden="false" customHeight="false" outlineLevel="0" collapsed="false">
      <c r="A16" s="5" t="s">
        <v>28</v>
      </c>
      <c r="B16" s="5" t="s">
        <v>29</v>
      </c>
      <c r="C16" s="6" t="n">
        <f aca="false">COUNTIFS([1]SurveyDATA!$E$1:$E$1048576,"*CATMON*",[1]SurveyDATA!$BS$1:$BS$1048576,"*RESIDENTIAL*",[1]SurveyDATA!$BT$1:$BT$1048576,"*STRUCTURE OWNER*",[1]SurveyDATA!$A$1:$A$1048576,"LEGAL",[1]SurveyDATA!$JR$1:$JR$1048576,"*STAY*")</f>
        <v>2</v>
      </c>
      <c r="D16" s="6" t="n">
        <f aca="false">COUNTIFS([1]SurveyDATA!$E$1:$E$1048576,"*CATMON*",[1]SurveyDATA!$BS$1:$BS$1048576,"*RESIDENTIAL*",[1]SurveyDATA!$BT$1:$BT$1048576,"*STRUCTURE OWNER*",[1]SurveyDATA!$A$1:$A$1048576,"LEGAL",[1]SurveyDATA!$JR$1:$JR$1048576,"*NEED*")</f>
        <v>1</v>
      </c>
      <c r="E16" s="6" t="n">
        <f aca="false">COUNTIFS([1]SurveyDATA!$E$1:$E$1048576,"*BUROL*",[1]SurveyDATA!$BS$1:$BS$1048576,"*MIXED*",[1]SurveyDATA!$BT$1:$BT$1048576,"*STRUCTURE OWNER*",[1]SurveyDATA!$A$1:$A$1048576,"LEGAL",[1]SurveyDATA!$JR$1:$JR$1048576,"*STAY*")</f>
        <v>0</v>
      </c>
      <c r="F16" s="6" t="n">
        <f aca="false">COUNTIFS([1]SurveyDATA!$E$1:$E$1048576,"*BUROL*",[1]SurveyDATA!$BS$1:$BS$1048576,"*MIXED*",[1]SurveyDATA!$BT$1:$BT$1048576,"*STRUCTURE OWNER*",[1]SurveyDATA!$A$1:$A$1048576,"LEGAL",[1]SurveyDATA!$JR$1:$JR$1048576,"*NEED*")</f>
        <v>0</v>
      </c>
      <c r="G16" s="6" t="n">
        <f aca="false">COUNTIFS([1]SurveyDATA!$E$1:$E$1048576,"*BUROL*",[1]SurveyDATA!$BS$1:$BS$1048576,"*COMMERICIAL*",[1]SurveyDATA!$BT$1:$BT$1048576,"*STRUCTURE OWNER*",[1]SurveyDATA!$A$1:$A$1048576,"LEGAL",[1]SurveyDATA!$JR$1:$JR$1048576,"*STAY*")</f>
        <v>0</v>
      </c>
      <c r="H16" s="6" t="n">
        <f aca="false">COUNTIFS([1]SurveyDATA!$E$1:$E$1048576,"*BUROL*",[1]SurveyDATA!$BS$1:$BS$1048576,"*COMMERCIAL*",[1]SurveyDATA!$BT$1:$BT$1048576,"*STRUCTURE OWNER*",[1]SurveyDATA!$A$1:$A$1048576,"LEGAL",[1]SurveyDATA!$JR$1:$JR$1048576,"*NEED*")</f>
        <v>0</v>
      </c>
      <c r="I16" s="6" t="n">
        <f aca="false">COUNTIFS([1]SurveyDATA!$E$1:$E$1048576,"*BUROL*",[1]SurveyDATA!$BS$1:$BS$1048576,"*INSTITUTIONAL*",[1]SurveyDATA!$BT$1:$BT$1048576,"*STRUCTURE OWNER*",[1]SurveyDATA!$A$1:$A$1048576,"LEGAL",[1]SurveyDATA!$JR$1:$JR$1048576,"*STAY*")</f>
        <v>0</v>
      </c>
      <c r="J16" s="6" t="n">
        <f aca="false">COUNTIFS([1]SurveyDATA!$E$1:$E$1048576,"*BUROL*",[1]SurveyDATA!$BS$1:$BS$1048576,"*INSTITUTIONAL*",[1]SurveyDATA!$BT$1:$BT$1048576,"*STRUCTURE OWNER*",[1]SurveyDATA!$A$1:$A$1048576,"LEGAL",[1]SurveyDATA!$JR$1:$JR$1048576,"*NEED*")</f>
        <v>0</v>
      </c>
      <c r="K16" s="6" t="n">
        <f aca="false">COUNTIFS([1]SurveyDATA!$E$1:$E$1048576,"*BUROL*",[1]SurveyDATA!$BS$1:$BS$1048576,"RESIDENTIAL*",[1]SurveyDATA!$BT$1:$BT$1048576,"*STRUCTURE RENTER*",[1]SurveyDATA!$A$1:$A$1048576,"LEGAL",[1]SurveyDATA!$JR$1:$JR$1048576,"*STAY*")</f>
        <v>0</v>
      </c>
      <c r="L16" s="6" t="n">
        <f aca="false">COUNTIFS([1]SurveyDATA!$E$1:$E$1048576,"*BUROL*",[1]SurveyDATA!$BS$1:$BS$1048576,"RESIDENTIAL*",[1]SurveyDATA!$BT$1:$BT$1048576,"*STRUCTURE RENTER*",[1]SurveyDATA!$A$1:$A$1048576,"LEGAL",[1]SurveyDATA!$JR$1:$JR$1048576,"*NEED*")</f>
        <v>0</v>
      </c>
      <c r="M16" s="6" t="n">
        <f aca="false">COUNTIFS([1]SurveyDATA!$E$1:$E$1048576,"*BUROL*",[1]SurveyDATA!$BS$1:$BS$1048576,"RESIDENTIAL*",[1]SurveyDATA!$BT$1:$BT$1048576,"*STRUCTURE OWNER*",[1]SurveyDATA!$A$1:$A$1048576,"LEGAL",[1]SurveyDATA!$JR$1:$JR$1048576,"*STAY*",[1]SurveyDATA!AS$1:AS$1048576,"*ABSENTEE*")</f>
        <v>0</v>
      </c>
      <c r="N16" s="6" t="n">
        <f aca="false">COUNTIFS([1]SurveyDATA!$E$1:$E$1048576,"*BUROL*",[1]SurveyDATA!$BS$1:$BS$1048576,"RESIDENTIAL*",[1]SurveyDATA!$BT$1:$BT$1048576,"*STRUCTURE OWNER*",[1]SurveyDATA!$A$1:$A$1048576,"LEGAL",[1]SurveyDATA!$JR$1:$JR$1048576,"*NEED*",[1]SurveyDATA!AS$1:AS$1048576,"*ABSENTEE*")</f>
        <v>0</v>
      </c>
      <c r="O16" s="7" t="e">
        <f aca="false">COUNTIFS([1]surveydata!#ref!,"*LEGAL*",[1]surveydata!#ref!,"*BUROL*",[1]SurveyDATA!Q$1:Q$1048576,"LAND OWNER",[1]SurveyDATA!T$1:T$1048576,"&lt;20%",[1]SurveyDATA!AS$1:AS$1048576,"")</f>
        <v>#NAME?</v>
      </c>
      <c r="P16" s="7" t="e">
        <f aca="false">COUNTIFS([1]surveydata!#ref!,"*LEGAL*",[1]surveydata!#ref!,"*BUROL*",[1]SurveyDATA!Q$1:Q$1048576,"LAND OWNER",[1]SurveyDATA!T$1:T$1048576,"&gt;20%",[1]SurveyDATA!AS$1:AS$1048576,"")</f>
        <v>#NAME?</v>
      </c>
      <c r="Q16" s="8"/>
      <c r="R16" s="8"/>
      <c r="S16" s="7" t="e">
        <f aca="false">SUM(Q16,O16,M16,K16,I16,G16,K16,E16,C16,)</f>
        <v>#NAME?</v>
      </c>
      <c r="T16" s="7" t="e">
        <f aca="false">SUM(R16,P16,N16,L16,J16,H16,L16,F16,D16,)</f>
        <v>#NAME?</v>
      </c>
    </row>
    <row r="17" customFormat="false" ht="15" hidden="false" customHeight="false" outlineLevel="0" collapsed="false">
      <c r="A17" s="9"/>
      <c r="B17" s="10" t="s">
        <v>22</v>
      </c>
      <c r="C17" s="11" t="n">
        <f aca="false">SUM(C16)</f>
        <v>2</v>
      </c>
      <c r="D17" s="11" t="n">
        <f aca="false">SUM(D16)</f>
        <v>1</v>
      </c>
      <c r="E17" s="11" t="n">
        <f aca="false">SUM(E16)</f>
        <v>0</v>
      </c>
      <c r="F17" s="11" t="n">
        <f aca="false">SUM(F16)</f>
        <v>0</v>
      </c>
      <c r="G17" s="11" t="n">
        <f aca="false">SUM(G16)</f>
        <v>0</v>
      </c>
      <c r="H17" s="11" t="n">
        <f aca="false">SUM(H16)</f>
        <v>0</v>
      </c>
      <c r="I17" s="11" t="n">
        <f aca="false">SUM(I16)</f>
        <v>0</v>
      </c>
      <c r="J17" s="11" t="n">
        <f aca="false">SUM(J16)</f>
        <v>0</v>
      </c>
      <c r="K17" s="11" t="n">
        <f aca="false">SUM(K16)</f>
        <v>0</v>
      </c>
      <c r="L17" s="11" t="n">
        <f aca="false">SUM(L16)</f>
        <v>0</v>
      </c>
      <c r="M17" s="11" t="n">
        <f aca="false">SUM(M16)</f>
        <v>0</v>
      </c>
      <c r="N17" s="11" t="n">
        <f aca="false">SUM(N16)</f>
        <v>0</v>
      </c>
      <c r="O17" s="11" t="e">
        <f aca="false">SUM(O16)</f>
        <v>#NAME?</v>
      </c>
      <c r="P17" s="11" t="e">
        <f aca="false">SUM(P16)</f>
        <v>#NAME?</v>
      </c>
      <c r="Q17" s="11" t="n">
        <f aca="false">SUM(Q16)</f>
        <v>0</v>
      </c>
      <c r="R17" s="11" t="n">
        <f aca="false">SUM(R16)</f>
        <v>0</v>
      </c>
      <c r="S17" s="11" t="e">
        <f aca="false">SUM(S16)</f>
        <v>#NAME?</v>
      </c>
      <c r="T17" s="11" t="e">
        <f aca="false">SUM(T16)</f>
        <v>#NAME?</v>
      </c>
    </row>
    <row r="18" customFormat="false" ht="15" hidden="false" customHeight="false" outlineLevel="0" collapsed="false">
      <c r="A18" s="5" t="s">
        <v>30</v>
      </c>
      <c r="B18" s="5" t="s">
        <v>31</v>
      </c>
      <c r="C18" s="6" t="n">
        <f aca="false">COUNTIFS([1]SurveyDATA!$E$1:$E$1048576,"*CATMON*",[1]SurveyDATA!$BS$1:$BS$1048576,"*RESIDENTIAL*",[1]SurveyDATA!$BT$1:$BT$1048576,"*STRUCTURE OWNER*",[1]SurveyDATA!$A$1:$A$1048576,"LEGAL",[1]SurveyDATA!$JR$1:$JR$1048576,"*STAY*")</f>
        <v>2</v>
      </c>
      <c r="D18" s="6" t="n">
        <f aca="false">COUNTIFS([1]SurveyDATA!$E$1:$E$1048576,"*CATMON*",[1]SurveyDATA!$BS$1:$BS$1048576,"*RESIDENTIAL*",[1]SurveyDATA!$BT$1:$BT$1048576,"*STRUCTURE OWNER*",[1]SurveyDATA!$A$1:$A$1048576,"LEGAL",[1]SurveyDATA!$JR$1:$JR$1048576,"*NEED*")</f>
        <v>1</v>
      </c>
      <c r="E18" s="6" t="n">
        <f aca="false">COUNTIFS([1]SurveyDATA!$E$1:$E$1048576,"*TAAL*",[1]SurveyDATA!$BS$1:$BS$1048576,"*MIXED*",[1]SurveyDATA!$BT$1:$BT$1048576,"*STRUCTURE OWNER*",[1]SurveyDATA!$A$1:$A$1048576,"LEGAL",[1]SurveyDATA!$JR$1:$JR$1048576,"*STAY*")</f>
        <v>0</v>
      </c>
      <c r="F18" s="6" t="n">
        <f aca="false">COUNTIFS([1]SurveyDATA!$E$1:$E$1048576,"*TAAL*",[1]SurveyDATA!$BS$1:$BS$1048576,"*MIXED*",[1]SurveyDATA!$BT$1:$BT$1048576,"*STRUCTURE OWNER*",[1]SurveyDATA!$A$1:$A$1048576,"LEGAL",[1]SurveyDATA!$JR$1:$JR$1048576,"*NEED*")</f>
        <v>0</v>
      </c>
      <c r="G18" s="6" t="n">
        <f aca="false">COUNTIFS([1]SurveyDATA!$E$1:$E$1048576,"*TAAL*",[1]SurveyDATA!$BS$1:$BS$1048576,"*COMMERICIAL*",[1]SurveyDATA!$BT$1:$BT$1048576,"*STRUCTURE OWNER*",[1]SurveyDATA!$A$1:$A$1048576,"LEGAL",[1]SurveyDATA!$JR$1:$JR$1048576,"*STAY*")</f>
        <v>0</v>
      </c>
      <c r="H18" s="6" t="n">
        <f aca="false">COUNTIFS([1]SurveyDATA!$E$1:$E$1048576,"*TAAL*",[1]SurveyDATA!$BS$1:$BS$1048576,"*COMMERCIAL*",[1]SurveyDATA!$BT$1:$BT$1048576,"*STRUCTURE OWNER*",[1]SurveyDATA!$A$1:$A$1048576,"LEGAL",[1]SurveyDATA!$JR$1:$JR$1048576,"*NEED*")</f>
        <v>0</v>
      </c>
      <c r="I18" s="6" t="n">
        <f aca="false">COUNTIFS([1]SurveyDATA!$E$1:$E$1048576,"*TAAL*",[1]SurveyDATA!$BS$1:$BS$1048576,"*INSTITUTIONAL*",[1]SurveyDATA!$BT$1:$BT$1048576,"*STRUCTURE OWNER*",[1]SurveyDATA!$A$1:$A$1048576,"LEGAL",[1]SurveyDATA!$JR$1:$JR$1048576,"*STAY*")</f>
        <v>0</v>
      </c>
      <c r="J18" s="6" t="n">
        <f aca="false">COUNTIFS([1]SurveyDATA!$E$1:$E$1048576,"*TAAL*",[1]SurveyDATA!$BS$1:$BS$1048576,"*INSTITUTIONAL*",[1]SurveyDATA!$BT$1:$BT$1048576,"*STRUCTURE OWNER*",[1]SurveyDATA!$A$1:$A$1048576,"LEGAL",[1]SurveyDATA!$JR$1:$JR$1048576,"*NEED*")</f>
        <v>0</v>
      </c>
      <c r="K18" s="6" t="n">
        <f aca="false">COUNTIFS([1]SurveyDATA!$E$1:$E$1048576,"*TAAL*",[1]SurveyDATA!$BS$1:$BS$1048576,"RESIDENTIAL*",[1]SurveyDATA!$BT$1:$BT$1048576,"*STRUCTURE RENTER*",[1]SurveyDATA!$A$1:$A$1048576,"LEGAL",[1]SurveyDATA!$JR$1:$JR$1048576,"*STAY*")</f>
        <v>0</v>
      </c>
      <c r="L18" s="6" t="n">
        <f aca="false">COUNTIFS([1]SurveyDATA!$E$1:$E$1048576,"*TAAL*",[1]SurveyDATA!$BS$1:$BS$1048576,"RESIDENTIAL*",[1]SurveyDATA!$BT$1:$BT$1048576,"*STRUCTURE RENTER*",[1]SurveyDATA!$A$1:$A$1048576,"LEGAL",[1]SurveyDATA!$JR$1:$JR$1048576,"*NEED*")</f>
        <v>0</v>
      </c>
      <c r="M18" s="6" t="n">
        <f aca="false">COUNTIFS([1]SurveyDATA!$E$1:$E$1048576,"*TAAL*",[1]SurveyDATA!$BS$1:$BS$1048576,"RESIDENTIAL*",[1]SurveyDATA!$BT$1:$BT$1048576,"*STRUCTURE OWNER*",[1]SurveyDATA!$A$1:$A$1048576,"LEGAL",[1]SurveyDATA!$JR$1:$JR$1048576,"*STAY*",[1]SurveyDATA!AS$1:AS$1048576,"*ABSENTEE*")</f>
        <v>0</v>
      </c>
      <c r="N18" s="6" t="n">
        <f aca="false">COUNTIFS([1]SurveyDATA!$E$1:$E$1048576,"*TAAL*",[1]SurveyDATA!$BS$1:$BS$1048576,"RESIDENTIAL*",[1]SurveyDATA!$BT$1:$BT$1048576,"*STRUCTURE OWNER*",[1]SurveyDATA!$A$1:$A$1048576,"LEGAL",[1]SurveyDATA!$JR$1:$JR$1048576,"*NEED*",[1]SurveyDATA!AS$1:AS$1048576,"*ABSENTEE*")</f>
        <v>0</v>
      </c>
      <c r="O18" s="7" t="e">
        <f aca="false">COUNTIFS([1]surveydata!#ref!,"*LEGAL*",[1]surveydata!#ref!,"*TAAL*",[1]SurveyDATA!Q$1:Q$1048576,"LAND OWNER",[1]SurveyDATA!T$1:T$1048576,"&lt;20%",[1]SurveyDATA!AS$1:AS$1048576,"")</f>
        <v>#NAME?</v>
      </c>
      <c r="P18" s="7" t="e">
        <f aca="false">COUNTIFS([1]surveydata!#ref!,"*LEGAL*",[1]surveydata!#ref!,"*TAAL*",[1]SurveyDATA!Q$1:Q$1048576,"LAND OWNER",[1]SurveyDATA!T$1:T$1048576,"&gt;20%",[1]SurveyDATA!AS$1:AS$1048576,"")</f>
        <v>#NAME?</v>
      </c>
      <c r="Q18" s="8"/>
      <c r="R18" s="8"/>
      <c r="S18" s="7" t="e">
        <f aca="false">SUM(Q18,O18,M18,K18,I18,G18,K18,E18,C18,)</f>
        <v>#NAME?</v>
      </c>
      <c r="T18" s="7" t="e">
        <f aca="false">SUM(R18,P18,N18,L18,J18,H18,L18,F18,D18,)</f>
        <v>#NAME?</v>
      </c>
    </row>
    <row r="19" customFormat="false" ht="15" hidden="false" customHeight="false" outlineLevel="0" collapsed="false">
      <c r="A19" s="5"/>
      <c r="B19" s="5" t="s">
        <v>32</v>
      </c>
      <c r="C19" s="6" t="n">
        <f aca="false">COUNTIFS([1]SurveyDATA!$E$1:$E$1048576,"*CATMON*",[1]SurveyDATA!$BS$1:$BS$1048576,"*RESIDENTIAL*",[1]SurveyDATA!$BT$1:$BT$1048576,"*STRUCTURE OWNER*",[1]SurveyDATA!$A$1:$A$1048576,"LEGAL",[1]SurveyDATA!$JR$1:$JR$1048576,"*STAY*")</f>
        <v>2</v>
      </c>
      <c r="D19" s="6" t="n">
        <f aca="false">COUNTIFS([1]SurveyDATA!$E$1:$E$1048576,"*CATMON*",[1]SurveyDATA!$BS$1:$BS$1048576,"*RESIDENTIAL*",[1]SurveyDATA!$BT$1:$BT$1048576,"*STRUCTURE OWNER*",[1]SurveyDATA!$A$1:$A$1048576,"LEGAL",[1]SurveyDATA!$JR$1:$JR$1048576,"*NEED*")</f>
        <v>1</v>
      </c>
      <c r="E19" s="6" t="n">
        <f aca="false">COUNTIFS([1]SurveyDATA!$E$1:$E$1048576,"*IGULOT*",[1]SurveyDATA!$BS$1:$BS$1048576,"*MIXED*",[1]SurveyDATA!$BT$1:$BT$1048576,"*STRUCTURE OWNER*",[1]SurveyDATA!$A$1:$A$1048576,"LEGAL",[1]SurveyDATA!$JR$1:$JR$1048576,"*STAY*")</f>
        <v>0</v>
      </c>
      <c r="F19" s="6" t="n">
        <f aca="false">COUNTIFS([1]SurveyDATA!$E$1:$E$1048576,"*IGULOT*",[1]SurveyDATA!$BS$1:$BS$1048576,"*MIXED*",[1]SurveyDATA!$BT$1:$BT$1048576,"*STRUCTURE OWNER*",[1]SurveyDATA!$A$1:$A$1048576,"LEGAL",[1]SurveyDATA!$JR$1:$JR$1048576,"*NEED*")</f>
        <v>0</v>
      </c>
      <c r="G19" s="6" t="n">
        <f aca="false">COUNTIFS([1]SurveyDATA!$E$1:$E$1048576,"*IGULOT*",[1]SurveyDATA!$BS$1:$BS$1048576,"*COMMERICIAL*",[1]SurveyDATA!$BT$1:$BT$1048576,"*STRUCTURE OWNER*",[1]SurveyDATA!$A$1:$A$1048576,"LEGAL",[1]SurveyDATA!$JR$1:$JR$1048576,"*STAY*")</f>
        <v>0</v>
      </c>
      <c r="H19" s="6" t="n">
        <f aca="false">COUNTIFS([1]SurveyDATA!$E$1:$E$1048576,"*IGULOT*",[1]SurveyDATA!$BS$1:$BS$1048576,"*COMMERCIAL*",[1]SurveyDATA!$BT$1:$BT$1048576,"*STRUCTURE OWNER*",[1]SurveyDATA!$A$1:$A$1048576,"LEGAL",[1]SurveyDATA!$JR$1:$JR$1048576,"*NEED*")</f>
        <v>0</v>
      </c>
      <c r="I19" s="6" t="n">
        <f aca="false">COUNTIFS([1]SurveyDATA!$E$1:$E$1048576,"*IGULOT*",[1]SurveyDATA!$BS$1:$BS$1048576,"*INSTITUTIONAL*",[1]SurveyDATA!$BT$1:$BT$1048576,"*STRUCTURE OWNER*",[1]SurveyDATA!$A$1:$A$1048576,"LEGAL",[1]SurveyDATA!$JR$1:$JR$1048576,"*STAY*")</f>
        <v>0</v>
      </c>
      <c r="J19" s="6" t="n">
        <f aca="false">COUNTIFS([1]SurveyDATA!$E$1:$E$1048576,"*IGULOT*",[1]SurveyDATA!$BS$1:$BS$1048576,"*INSTITUTIONAL*",[1]SurveyDATA!$BT$1:$BT$1048576,"*STRUCTURE OWNER*",[1]SurveyDATA!$A$1:$A$1048576,"LEGAL",[1]SurveyDATA!$JR$1:$JR$1048576,"*NEED*")</f>
        <v>0</v>
      </c>
      <c r="K19" s="6" t="n">
        <f aca="false">COUNTIFS([1]SurveyDATA!$E$1:$E$1048576,"*IGULOT*",[1]SurveyDATA!$BS$1:$BS$1048576,"RESIDENTIAL*",[1]SurveyDATA!$BT$1:$BT$1048576,"*STRUCTURE RENTER*",[1]SurveyDATA!$A$1:$A$1048576,"LEGAL",[1]SurveyDATA!$JR$1:$JR$1048576,"*STAY*")</f>
        <v>0</v>
      </c>
      <c r="L19" s="6" t="n">
        <f aca="false">COUNTIFS([1]SurveyDATA!$E$1:$E$1048576,"*IGULOT*",[1]SurveyDATA!$BS$1:$BS$1048576,"RESIDENTIAL*",[1]SurveyDATA!$BT$1:$BT$1048576,"*STRUCTURE RENTER*",[1]SurveyDATA!$A$1:$A$1048576,"LEGAL",[1]SurveyDATA!$JR$1:$JR$1048576,"*NEED*")</f>
        <v>0</v>
      </c>
      <c r="M19" s="6" t="n">
        <f aca="false">COUNTIFS([1]SurveyDATA!$E$1:$E$1048576,"*IGULOT*",[1]SurveyDATA!$BS$1:$BS$1048576,"RESIDENTIAL*",[1]SurveyDATA!$BT$1:$BT$1048576,"*STRUCTURE OWNER*",[1]SurveyDATA!$A$1:$A$1048576,"LEGAL",[1]SurveyDATA!$JR$1:$JR$1048576,"*STAY*",[1]SurveyDATA!AS$1:AS$1048576,"*ABSENTEE*")</f>
        <v>0</v>
      </c>
      <c r="N19" s="6" t="n">
        <f aca="false">COUNTIFS([1]SurveyDATA!$E$1:$E$1048576,"*IGULOT*",[1]SurveyDATA!$BS$1:$BS$1048576,"RESIDENTIAL*",[1]SurveyDATA!$BT$1:$BT$1048576,"*STRUCTURE OWNER*",[1]SurveyDATA!$A$1:$A$1048576,"LEGAL",[1]SurveyDATA!$JR$1:$JR$1048576,"*NEED*",[1]SurveyDATA!AS$1:AS$1048576,"*ABSENTEE*")</f>
        <v>0</v>
      </c>
      <c r="O19" s="7" t="e">
        <f aca="false">COUNTIFS([1]surveydata!#ref!,"*LEGAL*",[1]surveydata!#ref!,"*IGULOT*",[1]SurveyDATA!Q$1:Q$1048576,"LAND OWNER",[1]SurveyDATA!T$1:T$1048576,"&lt;20%",[1]SurveyDATA!AS$1:AS$1048576,"")</f>
        <v>#NAME?</v>
      </c>
      <c r="P19" s="7" t="e">
        <f aca="false">COUNTIFS([1]surveydata!#ref!,"*LEGAL*",[1]surveydata!#ref!,"*IGULOT*",[1]SurveyDATA!Q$1:Q$1048576,"LAND OWNER",[1]SurveyDATA!T$1:T$1048576,"&gt;20%",[1]SurveyDATA!AS$1:AS$1048576,"")</f>
        <v>#NAME?</v>
      </c>
      <c r="Q19" s="8"/>
      <c r="R19" s="8"/>
      <c r="S19" s="7" t="e">
        <f aca="false">SUM(Q19,O19,M19,K19,I19,G19,K19,E19,C19,)</f>
        <v>#NAME?</v>
      </c>
      <c r="T19" s="7" t="e">
        <f aca="false">SUM(R19,P19,N19,L19,J19,H19,L19,F19,D19,)</f>
        <v>#NAME?</v>
      </c>
    </row>
    <row r="20" customFormat="false" ht="15" hidden="false" customHeight="false" outlineLevel="0" collapsed="false">
      <c r="A20" s="5"/>
      <c r="B20" s="5" t="s">
        <v>33</v>
      </c>
      <c r="C20" s="6" t="n">
        <f aca="false">COUNTIFS([1]SurveyDATA!$E$1:$E$1048576,"*CATMON*",[1]SurveyDATA!$BS$1:$BS$1048576,"*RESIDENTIAL*",[1]SurveyDATA!$BT$1:$BT$1048576,"*STRUCTURE OWNER*",[1]SurveyDATA!$A$1:$A$1048576,"LEGAL",[1]SurveyDATA!$JR$1:$JR$1048576,"*STAY*")</f>
        <v>2</v>
      </c>
      <c r="D20" s="6" t="n">
        <f aca="false">COUNTIFS([1]SurveyDATA!$E$1:$E$1048576,"*CATMON*",[1]SurveyDATA!$BS$1:$BS$1048576,"*RESIDENTIAL*",[1]SurveyDATA!$BT$1:$BT$1048576,"*STRUCTURE OWNER*",[1]SurveyDATA!$A$1:$A$1048576,"LEGAL",[1]SurveyDATA!$JR$1:$JR$1048576,"*NEED*")</f>
        <v>1</v>
      </c>
      <c r="E20" s="6" t="n">
        <f aca="false">COUNTIFS([1]SurveyDATA!$E$1:$E$1048576,"*BUNDUKAN*",[1]SurveyDATA!$BS$1:$BS$1048576,"*MIXED*",[1]SurveyDATA!$BT$1:$BT$1048576,"*STRUCTURE OWNER*",[1]SurveyDATA!$A$1:$A$1048576,"LEGAL",[1]SurveyDATA!$JR$1:$JR$1048576,"*STAY*")</f>
        <v>0</v>
      </c>
      <c r="F20" s="6" t="n">
        <f aca="false">COUNTIFS([1]SurveyDATA!$E$1:$E$1048576,"*BUNDUKAN*",[1]SurveyDATA!$BS$1:$BS$1048576,"*MIXED*",[1]SurveyDATA!$BT$1:$BT$1048576,"*STRUCTURE OWNER*",[1]SurveyDATA!$A$1:$A$1048576,"LEGAL",[1]SurveyDATA!$JR$1:$JR$1048576,"*NEED*")</f>
        <v>0</v>
      </c>
      <c r="G20" s="6" t="n">
        <f aca="false">COUNTIFS([1]SurveyDATA!$E$1:$E$1048576,"*BUNDUKAN*",[1]SurveyDATA!$BS$1:$BS$1048576,"*COMMERICIAL*",[1]SurveyDATA!$BT$1:$BT$1048576,"*STRUCTURE OWNER*",[1]SurveyDATA!$A$1:$A$1048576,"LEGAL",[1]SurveyDATA!$JR$1:$JR$1048576,"*STAY*")</f>
        <v>0</v>
      </c>
      <c r="H20" s="6" t="n">
        <f aca="false">COUNTIFS([1]SurveyDATA!$E$1:$E$1048576,"*BUNDUKAN*",[1]SurveyDATA!$BS$1:$BS$1048576,"*COMMERCIAL*",[1]SurveyDATA!$BT$1:$BT$1048576,"*STRUCTURE OWNER*",[1]SurveyDATA!$A$1:$A$1048576,"LEGAL",[1]SurveyDATA!$JR$1:$JR$1048576,"*NEED*")</f>
        <v>0</v>
      </c>
      <c r="I20" s="6" t="n">
        <f aca="false">COUNTIFS([1]SurveyDATA!$E$1:$E$1048576,"*BUNDUKAN*",[1]SurveyDATA!$BS$1:$BS$1048576,"*INSTITUTIONAL*",[1]SurveyDATA!$BT$1:$BT$1048576,"*STRUCTURE OWNER*",[1]SurveyDATA!$A$1:$A$1048576,"LEGAL",[1]SurveyDATA!$JR$1:$JR$1048576,"*STAY*")</f>
        <v>0</v>
      </c>
      <c r="J20" s="6" t="n">
        <f aca="false">COUNTIFS([1]SurveyDATA!$E$1:$E$1048576,"*BUNDUKAN*",[1]SurveyDATA!$BS$1:$BS$1048576,"*INSTITUTIONAL*",[1]SurveyDATA!$BT$1:$BT$1048576,"*STRUCTURE OWNER*",[1]SurveyDATA!$A$1:$A$1048576,"LEGAL",[1]SurveyDATA!$JR$1:$JR$1048576,"*NEED*")</f>
        <v>0</v>
      </c>
      <c r="K20" s="6" t="n">
        <f aca="false">COUNTIFS([1]SurveyDATA!$E$1:$E$1048576,"*BUNDUKAN*",[1]SurveyDATA!$BS$1:$BS$1048576,"RESIDENTIAL*",[1]SurveyDATA!$BT$1:$BT$1048576,"*STRUCTURE RENTER*",[1]SurveyDATA!$A$1:$A$1048576,"LEGAL",[1]SurveyDATA!$JR$1:$JR$1048576,"*STAY*")</f>
        <v>0</v>
      </c>
      <c r="L20" s="6" t="n">
        <f aca="false">COUNTIFS([1]SurveyDATA!$E$1:$E$1048576,"*CATBUNDUKANMON*",[1]SurveyDATA!$BS$1:$BS$1048576,"RESIDENTIAL*",[1]SurveyDATA!$BT$1:$BT$1048576,"*STRUCTURE RENTER*",[1]SurveyDATA!$A$1:$A$1048576,"LEGAL",[1]SurveyDATA!$JR$1:$JR$1048576,"*NEED*")</f>
        <v>0</v>
      </c>
      <c r="M20" s="6" t="n">
        <f aca="false">COUNTIFS([1]SurveyDATA!$E$1:$E$1048576,"*BUNDUKAN*",[1]SurveyDATA!$BS$1:$BS$1048576,"RESIDENTIAL*",[1]SurveyDATA!$BT$1:$BT$1048576,"*STRUCTURE OWNER*",[1]SurveyDATA!$A$1:$A$1048576,"LEGAL",[1]SurveyDATA!$JR$1:$JR$1048576,"*STAY*",[1]SurveyDATA!AS$1:AS$1048576,"*ABSENTEE*")</f>
        <v>0</v>
      </c>
      <c r="N20" s="6" t="n">
        <f aca="false">COUNTIFS([1]SurveyDATA!$E$1:$E$1048576,"*BUNDUKAN*",[1]SurveyDATA!$BS$1:$BS$1048576,"RESIDENTIAL*",[1]SurveyDATA!$BT$1:$BT$1048576,"*STRUCTURE OWNER*",[1]SurveyDATA!$A$1:$A$1048576,"LEGAL",[1]SurveyDATA!$JR$1:$JR$1048576,"*NEED*",[1]SurveyDATA!AS$1:AS$1048576,"*ABSENTEE*")</f>
        <v>0</v>
      </c>
      <c r="O20" s="7" t="e">
        <f aca="false">COUNTIFS([1]surveydata!#ref!,"*LEGAL*",[1]surveydata!#ref!,"*BUNDUKAN*",[1]SurveyDATA!Q$1:Q$1048576,"LAND OWNER",[1]SurveyDATA!T$1:T$1048576,"&lt;20%",[1]SurveyDATA!AS$1:AS$1048576,"")</f>
        <v>#NAME?</v>
      </c>
      <c r="P20" s="7" t="e">
        <f aca="false">COUNTIFS([1]surveydata!#ref!,"*LEGAL*",[1]surveydata!#ref!,"*BUNDUKAN*",[1]SurveyDATA!Q$1:Q$1048576,"LAND OWNER",[1]SurveyDATA!T$1:T$1048576,"&gt;20%",[1]SurveyDATA!AS$1:AS$1048576,"")</f>
        <v>#NAME?</v>
      </c>
      <c r="Q20" s="8"/>
      <c r="R20" s="8"/>
      <c r="S20" s="7" t="e">
        <f aca="false">SUM(Q20,O20,M20,K20,I20,G20,K20,E20,C20,)</f>
        <v>#NAME?</v>
      </c>
      <c r="T20" s="7" t="e">
        <f aca="false">SUM(R20,P20,N20,L20,J20,H20,L20,F20,D20,)</f>
        <v>#NAME?</v>
      </c>
    </row>
    <row r="21" customFormat="false" ht="15" hidden="false" customHeight="false" outlineLevel="0" collapsed="false">
      <c r="A21" s="9"/>
      <c r="B21" s="10" t="s">
        <v>22</v>
      </c>
      <c r="C21" s="11" t="n">
        <f aca="false">SUM(C18:C20)</f>
        <v>6</v>
      </c>
      <c r="D21" s="11" t="n">
        <f aca="false">SUM(D18:D20)</f>
        <v>3</v>
      </c>
      <c r="E21" s="11" t="n">
        <f aca="false">SUM(E18:E20)</f>
        <v>0</v>
      </c>
      <c r="F21" s="11" t="n">
        <f aca="false">SUM(F18:F20)</f>
        <v>0</v>
      </c>
      <c r="G21" s="11" t="n">
        <f aca="false">SUM(G18:G20)</f>
        <v>0</v>
      </c>
      <c r="H21" s="11" t="n">
        <f aca="false">SUM(H18:H20)</f>
        <v>0</v>
      </c>
      <c r="I21" s="11" t="n">
        <f aca="false">SUM(I18:I20)</f>
        <v>0</v>
      </c>
      <c r="J21" s="11" t="n">
        <f aca="false">SUM(J18:J20)</f>
        <v>0</v>
      </c>
      <c r="K21" s="11" t="n">
        <f aca="false">SUM(K18:K20)</f>
        <v>0</v>
      </c>
      <c r="L21" s="11" t="n">
        <f aca="false">SUM(L18:L20)</f>
        <v>0</v>
      </c>
      <c r="M21" s="11" t="n">
        <f aca="false">SUM(M18:M20)</f>
        <v>0</v>
      </c>
      <c r="N21" s="11" t="n">
        <f aca="false">SUM(N18:N20)</f>
        <v>0</v>
      </c>
      <c r="O21" s="11" t="e">
        <f aca="false">SUM(O18:O20)</f>
        <v>#NAME?</v>
      </c>
      <c r="P21" s="11" t="e">
        <f aca="false">SUM(P18:P20)</f>
        <v>#NAME?</v>
      </c>
      <c r="Q21" s="11" t="n">
        <f aca="false">SUM(Q18:Q20)</f>
        <v>0</v>
      </c>
      <c r="R21" s="11" t="n">
        <f aca="false">SUM(R18:R20)</f>
        <v>0</v>
      </c>
      <c r="S21" s="11" t="e">
        <f aca="false">SUM(S18:S20)</f>
        <v>#NAME?</v>
      </c>
      <c r="T21" s="11" t="e">
        <f aca="false">SUM(T18:T20)</f>
        <v>#NAME?</v>
      </c>
    </row>
    <row r="22" customFormat="false" ht="15" hidden="false" customHeight="false" outlineLevel="0" collapsed="false">
      <c r="A22" s="5" t="s">
        <v>34</v>
      </c>
      <c r="B22" s="5" t="s">
        <v>35</v>
      </c>
      <c r="C22" s="6" t="n">
        <f aca="false">COUNTIFS([1]SurveyDATA!$E$1:$E$1048576,"*CATMON*",[1]SurveyDATA!$BS$1:$BS$1048576,"*RESIDENTIAL*",[1]SurveyDATA!$BT$1:$BT$1048576,"*STRUCTURE OWNER*",[1]SurveyDATA!$A$1:$A$1048576,"LEGAL",[1]SurveyDATA!$JR$1:$JR$1048576,"*STAY*")</f>
        <v>2</v>
      </c>
      <c r="D22" s="6" t="n">
        <f aca="false">COUNTIFS([1]SurveyDATA!$E$1:$E$1048576,"*CATMON*",[1]SurveyDATA!$BS$1:$BS$1048576,"*RESIDENTIAL*",[1]SurveyDATA!$BT$1:$BT$1048576,"*STRUCTURE OWNER*",[1]SurveyDATA!$A$1:$A$1048576,"LEGAL",[1]SurveyDATA!$JR$1:$JR$1048576,"*NEED*")</f>
        <v>1</v>
      </c>
      <c r="E22" s="6" t="n">
        <f aca="false">COUNTIFS([1]SurveyDATA!$E$1:$E$1048576,"*NORTE*",[1]SurveyDATA!$BS$1:$BS$1048576,"*MIXED*",[1]SurveyDATA!$BT$1:$BT$1048576,"*STRUCTURE OWNER*",[1]SurveyDATA!$A$1:$A$1048576,"LEGAL",[1]SurveyDATA!$JR$1:$JR$1048576,"*STAY*")</f>
        <v>0</v>
      </c>
      <c r="F22" s="6" t="n">
        <f aca="false">COUNTIFS([1]SurveyDATA!$E$1:$E$1048576,"*NORTE*",[1]SurveyDATA!$BS$1:$BS$1048576,"*MIXED*",[1]SurveyDATA!$BT$1:$BT$1048576,"*STRUCTURE OWNER*",[1]SurveyDATA!$A$1:$A$1048576,"LEGAL",[1]SurveyDATA!$JR$1:$JR$1048576,"*NEED*")</f>
        <v>0</v>
      </c>
      <c r="G22" s="6" t="n">
        <f aca="false">COUNTIFS([1]SurveyDATA!$E$1:$E$1048576,"*NORTE*",[1]SurveyDATA!$BS$1:$BS$1048576,"*COMMERICIAL*",[1]SurveyDATA!$BT$1:$BT$1048576,"*STRUCTURE OWNER*",[1]SurveyDATA!$A$1:$A$1048576,"LEGAL",[1]SurveyDATA!$JR$1:$JR$1048576,"*STAY*")</f>
        <v>0</v>
      </c>
      <c r="H22" s="6" t="n">
        <f aca="false">COUNTIFS([1]SurveyDATA!$E$1:$E$1048576,"*NORTE*",[1]SurveyDATA!$BS$1:$BS$1048576,"*COMMERCIAL*",[1]SurveyDATA!$BT$1:$BT$1048576,"*STRUCTURE OWNER*",[1]SurveyDATA!$A$1:$A$1048576,"LEGAL",[1]SurveyDATA!$JR$1:$JR$1048576,"*NEED*")</f>
        <v>0</v>
      </c>
      <c r="I22" s="6" t="n">
        <f aca="false">COUNTIFS([1]SurveyDATA!$E$1:$E$1048576,"*NORTE*",[1]SurveyDATA!$BS$1:$BS$1048576,"*INSTITUTIONAL*",[1]SurveyDATA!$BT$1:$BT$1048576,"*STRUCTURE OWNER*",[1]SurveyDATA!$A$1:$A$1048576,"LEGAL",[1]SurveyDATA!$JR$1:$JR$1048576,"*STAY*")</f>
        <v>0</v>
      </c>
      <c r="J22" s="6" t="n">
        <f aca="false">COUNTIFS([1]SurveyDATA!$E$1:$E$1048576,"*NORTE*",[1]SurveyDATA!$BS$1:$BS$1048576,"*INSTITUTIONAL*",[1]SurveyDATA!$BT$1:$BT$1048576,"*STRUCTURE OWNER*",[1]SurveyDATA!$A$1:$A$1048576,"LEGAL",[1]SurveyDATA!$JR$1:$JR$1048576,"*NEED*")</f>
        <v>0</v>
      </c>
      <c r="K22" s="6" t="n">
        <f aca="false">COUNTIFS([1]SurveyDATA!$E$1:$E$1048576,"*NORTE*",[1]SurveyDATA!$BS$1:$BS$1048576,"RESIDENTIAL*",[1]SurveyDATA!$BT$1:$BT$1048576,"*STRUCTURE RENTER*",[1]SurveyDATA!$A$1:$A$1048576,"LEGAL",[1]SurveyDATA!$JR$1:$JR$1048576,"*STAY*")</f>
        <v>0</v>
      </c>
      <c r="L22" s="6" t="n">
        <f aca="false">COUNTIFS([1]SurveyDATA!$E$1:$E$1048576,"*NORTE*",[1]SurveyDATA!$BS$1:$BS$1048576,"RESIDENTIAL*",[1]SurveyDATA!$BT$1:$BT$1048576,"*STRUCTURE RENTER*",[1]SurveyDATA!$A$1:$A$1048576,"LEGAL",[1]SurveyDATA!$JR$1:$JR$1048576,"*NEED*")</f>
        <v>0</v>
      </c>
      <c r="M22" s="6" t="n">
        <f aca="false">COUNTIFS([1]SurveyDATA!$E$1:$E$1048576,"*NORTE*",[1]SurveyDATA!$BS$1:$BS$1048576,"RESIDENTIAL*",[1]SurveyDATA!$BT$1:$BT$1048576,"*STRUCTURE OWNER*",[1]SurveyDATA!$A$1:$A$1048576,"LEGAL",[1]SurveyDATA!$JR$1:$JR$1048576,"*STAY*",[1]SurveyDATA!AS$1:AS$1048576,"*ABSENTEE*")</f>
        <v>0</v>
      </c>
      <c r="N22" s="6" t="n">
        <f aca="false">COUNTIFS([1]SurveyDATA!$E$1:$E$1048576,"*NORTE*",[1]SurveyDATA!$BS$1:$BS$1048576,"RESIDENTIAL*",[1]SurveyDATA!$BT$1:$BT$1048576,"*STRUCTURE OWNER*",[1]SurveyDATA!$A$1:$A$1048576,"LEGAL",[1]SurveyDATA!$JR$1:$JR$1048576,"*NEED*",[1]SurveyDATA!AS$1:AS$1048576,"*ABSENTEE*")</f>
        <v>0</v>
      </c>
      <c r="O22" s="7" t="e">
        <f aca="false">COUNTIFS([1]surveydata!#ref!,"*LEGAL*",[1]surveydata!#ref!,"*NORTE*",[1]SurveyDATA!Q$1:Q$1048576,"LAND OWNER",[1]SurveyDATA!T$1:T$1048576,"&lt;20%",[1]SurveyDATA!AS$1:AS$1048576,"")</f>
        <v>#NAME?</v>
      </c>
      <c r="P22" s="7" t="e">
        <f aca="false">COUNTIFS([1]surveydata!#ref!,"*LEGAL*",[1]surveydata!#ref!,"*NORTE*",[1]SurveyDATA!Q$1:Q$1048576,"LAND OWNER",[1]SurveyDATA!T$1:T$1048576,"&gt;20%",[1]SurveyDATA!AS$1:AS$1048576,"")</f>
        <v>#NAME?</v>
      </c>
      <c r="Q22" s="8"/>
      <c r="R22" s="8"/>
      <c r="S22" s="7" t="e">
        <f aca="false">SUM(Q22,O22,M22,K22,I22,G22,K22,E22,C22,)</f>
        <v>#NAME?</v>
      </c>
      <c r="T22" s="7" t="e">
        <f aca="false">SUM(R22,P22,N22,L22,J22,H22,L22,F22,D22,)</f>
        <v>#NAME?</v>
      </c>
    </row>
    <row r="23" customFormat="false" ht="15" hidden="false" customHeight="false" outlineLevel="0" collapsed="false">
      <c r="A23" s="5"/>
      <c r="B23" s="5" t="s">
        <v>36</v>
      </c>
      <c r="C23" s="6" t="n">
        <f aca="false">COUNTIFS([1]SurveyDATA!$E$1:$E$1048576,"*CATMON*",[1]SurveyDATA!$BS$1:$BS$1048576,"*RESIDENTIAL*",[1]SurveyDATA!$BT$1:$BT$1048576,"*STRUCTURE OWNER*",[1]SurveyDATA!$A$1:$A$1048576,"LEGAL",[1]SurveyDATA!$JR$1:$JR$1048576,"*STAY*")</f>
        <v>2</v>
      </c>
      <c r="D23" s="6" t="n">
        <f aca="false">COUNTIFS([1]SurveyDATA!$E$1:$E$1048576,"*CATMON*",[1]SurveyDATA!$BS$1:$BS$1048576,"*RESIDENTIAL*",[1]SurveyDATA!$BT$1:$BT$1048576,"*STRUCTURE OWNER*",[1]SurveyDATA!$A$1:$A$1048576,"LEGAL",[1]SurveyDATA!$JR$1:$JR$1048576,"*NEED*")</f>
        <v>1</v>
      </c>
      <c r="E23" s="6" t="n">
        <f aca="false">COUNTIFS([1]SurveyDATA!$E$1:$E$1048576,"*SAOG*",[1]SurveyDATA!$BS$1:$BS$1048576,"*MIXED*",[1]SurveyDATA!$BT$1:$BT$1048576,"*STRUCTURE OWNER*",[1]SurveyDATA!$A$1:$A$1048576,"LEGAL",[1]SurveyDATA!$JR$1:$JR$1048576,"*STAY*")</f>
        <v>0</v>
      </c>
      <c r="F23" s="6" t="n">
        <f aca="false">COUNTIFS([1]SurveyDATA!$E$1:$E$1048576,"*SAOG*",[1]SurveyDATA!$BS$1:$BS$1048576,"*MIXED*",[1]SurveyDATA!$BT$1:$BT$1048576,"*STRUCTURE OWNER*",[1]SurveyDATA!$A$1:$A$1048576,"LEGAL",[1]SurveyDATA!$JR$1:$JR$1048576,"*NEED*")</f>
        <v>0</v>
      </c>
      <c r="G23" s="6" t="n">
        <f aca="false">COUNTIFS([1]SurveyDATA!$E$1:$E$1048576,"*SAOG*",[1]SurveyDATA!$BS$1:$BS$1048576,"*COMMERICIAL*",[1]SurveyDATA!$BT$1:$BT$1048576,"*STRUCTURE OWNER*",[1]SurveyDATA!$A$1:$A$1048576,"LEGAL",[1]SurveyDATA!$JR$1:$JR$1048576,"*STAY*")</f>
        <v>0</v>
      </c>
      <c r="H23" s="6" t="n">
        <f aca="false">COUNTIFS([1]SurveyDATA!$E$1:$E$1048576,"*SAOG*",[1]SurveyDATA!$BS$1:$BS$1048576,"*COMMERCIAL*",[1]SurveyDATA!$BT$1:$BT$1048576,"*STRUCTURE OWNER*",[1]SurveyDATA!$A$1:$A$1048576,"LEGAL",[1]SurveyDATA!$JR$1:$JR$1048576,"*NEED*")</f>
        <v>0</v>
      </c>
      <c r="I23" s="6" t="n">
        <f aca="false">COUNTIFS([1]SurveyDATA!$E$1:$E$1048576,"*SAOG*",[1]SurveyDATA!$BS$1:$BS$1048576,"*INSTITUTIONAL*",[1]SurveyDATA!$BT$1:$BT$1048576,"*STRUCTURE OWNER*",[1]SurveyDATA!$A$1:$A$1048576,"LEGAL",[1]SurveyDATA!$JR$1:$JR$1048576,"*STAY*")</f>
        <v>0</v>
      </c>
      <c r="J23" s="6" t="n">
        <f aca="false">COUNTIFS([1]SurveyDATA!$E$1:$E$1048576,"*SAOG*",[1]SurveyDATA!$BS$1:$BS$1048576,"*INSTITUTIONAL*",[1]SurveyDATA!$BT$1:$BT$1048576,"*STRUCTURE OWNER*",[1]SurveyDATA!$A$1:$A$1048576,"LEGAL",[1]SurveyDATA!$JR$1:$JR$1048576,"*NEED*")</f>
        <v>0</v>
      </c>
      <c r="K23" s="6" t="n">
        <f aca="false">COUNTIFS([1]SurveyDATA!$E$1:$E$1048576,"*SAOG*",[1]SurveyDATA!$BS$1:$BS$1048576,"RESIDENTIAL*",[1]SurveyDATA!$BT$1:$BT$1048576,"*STRUCTURE RENTER*",[1]SurveyDATA!$A$1:$A$1048576,"LEGAL",[1]SurveyDATA!$JR$1:$JR$1048576,"*STAY*")</f>
        <v>0</v>
      </c>
      <c r="L23" s="6" t="n">
        <f aca="false">COUNTIFS([1]SurveyDATA!$E$1:$E$1048576,"*SAOG*",[1]SurveyDATA!$BS$1:$BS$1048576,"RESIDENTIAL*",[1]SurveyDATA!$BT$1:$BT$1048576,"*STRUCTURE RENTER*",[1]SurveyDATA!$A$1:$A$1048576,"LEGAL",[1]SurveyDATA!$JR$1:$JR$1048576,"*NEED*")</f>
        <v>0</v>
      </c>
      <c r="M23" s="6" t="n">
        <f aca="false">COUNTIFS([1]SurveyDATA!$E$1:$E$1048576,"*SAOG*",[1]SurveyDATA!$BS$1:$BS$1048576,"RESIDENTIAL*",[1]SurveyDATA!$BT$1:$BT$1048576,"*STRUCTURE OWNER*",[1]SurveyDATA!$A$1:$A$1048576,"LEGAL",[1]SurveyDATA!$JR$1:$JR$1048576,"*STAY*",[1]SurveyDATA!AS$1:AS$1048576,"*ABSENTEE*")</f>
        <v>0</v>
      </c>
      <c r="N23" s="6" t="n">
        <f aca="false">COUNTIFS([1]SurveyDATA!$E$1:$E$1048576,"*SAOG*",[1]SurveyDATA!$BS$1:$BS$1048576,"RESIDENTIAL*",[1]SurveyDATA!$BT$1:$BT$1048576,"*STRUCTURE OWNER*",[1]SurveyDATA!$A$1:$A$1048576,"LEGAL",[1]SurveyDATA!$JR$1:$JR$1048576,"*NEED*",[1]SurveyDATA!AS$1:AS$1048576,"*ABSENTEE*")</f>
        <v>0</v>
      </c>
      <c r="O23" s="7" t="e">
        <f aca="false">COUNTIFS([1]surveydata!#ref!,"*LEGAL*",[1]surveydata!#ref!,"*SAOG*",[1]SurveyDATA!Q$1:Q$1048576,"LAND OWNER",[1]SurveyDATA!T$1:T$1048576,"&lt;20%",[1]SurveyDATA!AS$1:AS$1048576,"")</f>
        <v>#NAME?</v>
      </c>
      <c r="P23" s="7" t="e">
        <f aca="false">COUNTIFS([1]surveydata!#ref!,"*LEGAL*",[1]surveydata!#ref!,"*SAOG*",[1]SurveyDATA!Q$1:Q$1048576,"LAND OWNER",[1]SurveyDATA!T$1:T$1048576,"&gt;20%",[1]SurveyDATA!AS$1:AS$1048576,"")</f>
        <v>#NAME?</v>
      </c>
      <c r="Q23" s="8"/>
      <c r="R23" s="8"/>
      <c r="S23" s="7" t="e">
        <f aca="false">SUM(Q23,O23,M23,K23,I23,G23,K23,E23,C23,)</f>
        <v>#NAME?</v>
      </c>
      <c r="T23" s="7" t="e">
        <f aca="false">SUM(R23,P23,N23,L23,J23,H23,L23,F23,D23,)</f>
        <v>#NAME?</v>
      </c>
    </row>
    <row r="24" customFormat="false" ht="15" hidden="false" customHeight="false" outlineLevel="0" collapsed="false">
      <c r="A24" s="5"/>
      <c r="B24" s="5" t="s">
        <v>37</v>
      </c>
      <c r="C24" s="6" t="n">
        <f aca="false">COUNTIFS([1]SurveyDATA!$E$1:$E$1048576,"*CATMON*",[1]SurveyDATA!$BS$1:$BS$1048576,"*RESIDENTIAL*",[1]SurveyDATA!$BT$1:$BT$1048576,"*STRUCTURE OWNER*",[1]SurveyDATA!$A$1:$A$1048576,"LEGAL",[1]SurveyDATA!$JR$1:$JR$1048576,"*STAY*")</f>
        <v>2</v>
      </c>
      <c r="D24" s="6" t="n">
        <f aca="false">COUNTIFS([1]SurveyDATA!$E$1:$E$1048576,"*CATMON*",[1]SurveyDATA!$BS$1:$BS$1048576,"*RESIDENTIAL*",[1]SurveyDATA!$BT$1:$BT$1048576,"*STRUCTURE OWNER*",[1]SurveyDATA!$A$1:$A$1048576,"LEGAL",[1]SurveyDATA!$JR$1:$JR$1048576,"*NEED*")</f>
        <v>1</v>
      </c>
      <c r="E24" s="6" t="n">
        <f aca="false">COUNTIFS([1]SurveyDATA!$E$1:$E$1048576,"*IBAYO*",[1]SurveyDATA!$BS$1:$BS$1048576,"*MIXED*",[1]SurveyDATA!$BT$1:$BT$1048576,"*STRUCTURE OWNER*",[1]SurveyDATA!$A$1:$A$1048576,"LEGAL",[1]SurveyDATA!$JR$1:$JR$1048576,"*STAY*")</f>
        <v>0</v>
      </c>
      <c r="F24" s="6" t="n">
        <f aca="false">COUNTIFS([1]SurveyDATA!$E$1:$E$1048576,"*IBAYO*",[1]SurveyDATA!$BS$1:$BS$1048576,"*MIXED*",[1]SurveyDATA!$BT$1:$BT$1048576,"*STRUCTURE OWNER*",[1]SurveyDATA!$A$1:$A$1048576,"LEGAL",[1]SurveyDATA!$JR$1:$JR$1048576,"*NEED*")</f>
        <v>1</v>
      </c>
      <c r="G24" s="6" t="n">
        <f aca="false">COUNTIFS([1]SurveyDATA!$E$1:$E$1048576,"*IBAYO*",[1]SurveyDATA!$BS$1:$BS$1048576,"*COMMERICIAL*",[1]SurveyDATA!$BT$1:$BT$1048576,"*STRUCTURE OWNER*",[1]SurveyDATA!$A$1:$A$1048576,"LEGAL",[1]SurveyDATA!$JR$1:$JR$1048576,"*STAY*")</f>
        <v>0</v>
      </c>
      <c r="H24" s="6" t="n">
        <f aca="false">COUNTIFS([1]SurveyDATA!$E$1:$E$1048576,"*IBAYO*",[1]SurveyDATA!$BS$1:$BS$1048576,"*COMMERCIAL*",[1]SurveyDATA!$BT$1:$BT$1048576,"*STRUCTURE OWNER*",[1]SurveyDATA!$A$1:$A$1048576,"LEGAL",[1]SurveyDATA!$JR$1:$JR$1048576,"*NEED*")</f>
        <v>0</v>
      </c>
      <c r="I24" s="6" t="n">
        <f aca="false">COUNTIFS([1]SurveyDATA!$E$1:$E$1048576,"*IBAYO*",[1]SurveyDATA!$BS$1:$BS$1048576,"*INSTITUTIONAL*",[1]SurveyDATA!$BT$1:$BT$1048576,"*STRUCTURE OWNER*",[1]SurveyDATA!$A$1:$A$1048576,"LEGAL",[1]SurveyDATA!$JR$1:$JR$1048576,"*STAY*")</f>
        <v>0</v>
      </c>
      <c r="J24" s="6" t="n">
        <f aca="false">COUNTIFS([1]SurveyDATA!$E$1:$E$1048576,"*IBAYO*",[1]SurveyDATA!$BS$1:$BS$1048576,"*INSTITUTIONAL*",[1]SurveyDATA!$BT$1:$BT$1048576,"*STRUCTURE OWNER*",[1]SurveyDATA!$A$1:$A$1048576,"LEGAL",[1]SurveyDATA!$JR$1:$JR$1048576,"*NEED*")</f>
        <v>0</v>
      </c>
      <c r="K24" s="6" t="n">
        <f aca="false">COUNTIFS([1]SurveyDATA!$E$1:$E$1048576,"*IBAYO*",[1]SurveyDATA!$BS$1:$BS$1048576,"RESIDENTIAL*",[1]SurveyDATA!$BT$1:$BT$1048576,"*STRUCTURE RENTER*",[1]SurveyDATA!$A$1:$A$1048576,"LEGAL",[1]SurveyDATA!$JR$1:$JR$1048576,"*STAY*")</f>
        <v>0</v>
      </c>
      <c r="L24" s="6" t="n">
        <f aca="false">COUNTIFS([1]SurveyDATA!$E$1:$E$1048576,"*IBAYO*",[1]SurveyDATA!$BS$1:$BS$1048576,"RESIDENTIAL*",[1]SurveyDATA!$BT$1:$BT$1048576,"*STRUCTURE RENTER*",[1]SurveyDATA!$A$1:$A$1048576,"LEGAL",[1]SurveyDATA!$JR$1:$JR$1048576,"*NEED*")</f>
        <v>0</v>
      </c>
      <c r="M24" s="6" t="n">
        <f aca="false">COUNTIFS([1]SurveyDATA!$E$1:$E$1048576,"*IBAYO*",[1]SurveyDATA!$BS$1:$BS$1048576,"RESIDENTIAL*",[1]SurveyDATA!$BT$1:$BT$1048576,"*STRUCTURE OWNER*",[1]SurveyDATA!$A$1:$A$1048576,"LEGAL",[1]SurveyDATA!$JR$1:$JR$1048576,"*STAY*",[1]SurveyDATA!AS$1:AS$1048576,"*ABSENTEE*")</f>
        <v>0</v>
      </c>
      <c r="N24" s="6" t="n">
        <f aca="false">COUNTIFS([1]SurveyDATA!$E$1:$E$1048576,"*IBAYO*",[1]SurveyDATA!$BS$1:$BS$1048576,"RESIDENTIAL*",[1]SurveyDATA!$BT$1:$BT$1048576,"*STRUCTURE OWNER*",[1]SurveyDATA!$A$1:$A$1048576,"LEGAL",[1]SurveyDATA!$JR$1:$JR$1048576,"*NEED*",[1]SurveyDATA!AS$1:AS$1048576,"*ABSENTEE*")</f>
        <v>0</v>
      </c>
      <c r="O24" s="7" t="e">
        <f aca="false">COUNTIFS([1]surveydata!#ref!,"*LEGAL*",[1]surveydata!#ref!,"*IBAYO*",[1]SurveyDATA!Q$1:Q$1048576,"LAND OWNER",[1]SurveyDATA!T$1:T$1048576,"&lt;20%",[1]SurveyDATA!AS$1:AS$1048576,"")</f>
        <v>#NAME?</v>
      </c>
      <c r="P24" s="7" t="e">
        <f aca="false">COUNTIFS([1]surveydata!#ref!,"*LEGAL*",[1]surveydata!#ref!,"*IBAYO*",[1]SurveyDATA!Q$1:Q$1048576,"LAND OWNER",[1]SurveyDATA!T$1:T$1048576,"&gt;20%",[1]SurveyDATA!AS$1:AS$1048576,"")</f>
        <v>#NAME?</v>
      </c>
      <c r="Q24" s="8"/>
      <c r="R24" s="8"/>
      <c r="S24" s="7" t="e">
        <f aca="false">SUM(Q24,O24,M24,K24,I24,G24,K24,E24,C24,)</f>
        <v>#NAME?</v>
      </c>
      <c r="T24" s="7" t="e">
        <f aca="false">SUM(R24,P24,N24,L24,J24,H24,L24,F24,D24,)</f>
        <v>#NAME?</v>
      </c>
    </row>
    <row r="25" customFormat="false" ht="15" hidden="false" customHeight="false" outlineLevel="0" collapsed="false">
      <c r="A25" s="9"/>
      <c r="B25" s="10" t="s">
        <v>22</v>
      </c>
      <c r="C25" s="11" t="n">
        <f aca="false">SUM(C22:C24)</f>
        <v>6</v>
      </c>
      <c r="D25" s="11" t="n">
        <f aca="false">SUM(D22:D24)</f>
        <v>3</v>
      </c>
      <c r="E25" s="11" t="n">
        <f aca="false">SUM(E22:E24)</f>
        <v>0</v>
      </c>
      <c r="F25" s="11" t="n">
        <f aca="false">SUM(F22:F24)</f>
        <v>1</v>
      </c>
      <c r="G25" s="11" t="n">
        <f aca="false">SUM(G22:G24)</f>
        <v>0</v>
      </c>
      <c r="H25" s="11" t="n">
        <f aca="false">SUM(H22:H24)</f>
        <v>0</v>
      </c>
      <c r="I25" s="11" t="n">
        <f aca="false">SUM(I22:I24)</f>
        <v>0</v>
      </c>
      <c r="J25" s="11" t="n">
        <f aca="false">SUM(J22:J24)</f>
        <v>0</v>
      </c>
      <c r="K25" s="11" t="n">
        <f aca="false">SUM(K22:K24)</f>
        <v>0</v>
      </c>
      <c r="L25" s="11" t="n">
        <f aca="false">SUM(L22:L24)</f>
        <v>0</v>
      </c>
      <c r="M25" s="11" t="n">
        <f aca="false">SUM(M22:M24)</f>
        <v>0</v>
      </c>
      <c r="N25" s="11" t="n">
        <f aca="false">SUM(N22:N24)</f>
        <v>0</v>
      </c>
      <c r="O25" s="11" t="e">
        <f aca="false">SUM(O22:O24)</f>
        <v>#NAME?</v>
      </c>
      <c r="P25" s="11" t="e">
        <f aca="false">SUM(P22:P24)</f>
        <v>#NAME?</v>
      </c>
      <c r="Q25" s="11" t="n">
        <f aca="false">SUM(Q22:Q24)</f>
        <v>0</v>
      </c>
      <c r="R25" s="11" t="n">
        <f aca="false">SUM(R22:R24)</f>
        <v>0</v>
      </c>
      <c r="S25" s="11" t="e">
        <f aca="false">SUM(S22:S24)</f>
        <v>#NAME?</v>
      </c>
      <c r="T25" s="11" t="e">
        <f aca="false">SUM(T22:T24)</f>
        <v>#NAME?</v>
      </c>
    </row>
    <row r="26" customFormat="false" ht="15" hidden="false" customHeight="false" outlineLevel="0" collapsed="false">
      <c r="A26" s="5" t="s">
        <v>38</v>
      </c>
      <c r="B26" s="5" t="s">
        <v>39</v>
      </c>
      <c r="C26" s="6" t="n">
        <f aca="false">COUNTIFS([1]SurveyDATA!$E$1:$E$1048576,"*CATMON*",[1]SurveyDATA!$BS$1:$BS$1048576,"*RESIDENTIAL*",[1]SurveyDATA!$BT$1:$BT$1048576,"*STRUCTURE OWNER*",[1]SurveyDATA!$A$1:$A$1048576,"LEGAL",[1]SurveyDATA!$JR$1:$JR$1048576,"*STAY*")</f>
        <v>2</v>
      </c>
      <c r="D26" s="6" t="n">
        <f aca="false">COUNTIFS([1]SurveyDATA!$E$1:$E$1048576,"*CATMON*",[1]SurveyDATA!$BS$1:$BS$1048576,"*RESIDENTIAL*",[1]SurveyDATA!$BT$1:$BT$1048576,"*STRUCTURE OWNER*",[1]SurveyDATA!$A$1:$A$1048576,"LEGAL",[1]SurveyDATA!$JR$1:$JR$1048576,"*NEED*")</f>
        <v>1</v>
      </c>
      <c r="E26" s="6" t="n">
        <f aca="false">COUNTIFS([1]SurveyDATA!$E$1:$E$1048576,"*PANDAYAN*",[1]SurveyDATA!$BS$1:$BS$1048576,"*MIXED*",[1]SurveyDATA!$BT$1:$BT$1048576,"*STRUCTURE OWNER*",[1]SurveyDATA!$A$1:$A$1048576,"LEGAL",[1]SurveyDATA!$JR$1:$JR$1048576,"*STAY*")</f>
        <v>0</v>
      </c>
      <c r="F26" s="6" t="n">
        <f aca="false">COUNTIFS([1]SurveyDATA!$E$1:$E$1048576,"*PANDAYAN*",[1]SurveyDATA!$BS$1:$BS$1048576,"*MIXED*",[1]SurveyDATA!$BT$1:$BT$1048576,"*STRUCTURE OWNER*",[1]SurveyDATA!$A$1:$A$1048576,"LEGAL",[1]SurveyDATA!$JR$1:$JR$1048576,"*NEED*")</f>
        <v>0</v>
      </c>
      <c r="G26" s="6" t="n">
        <f aca="false">COUNTIFS([1]SurveyDATA!$E$1:$E$1048576,"*PANDAYAN*",[1]SurveyDATA!$BS$1:$BS$1048576,"*COMMERICIAL*",[1]SurveyDATA!$BT$1:$BT$1048576,"*STRUCTURE OWNER*",[1]SurveyDATA!$A$1:$A$1048576,"LEGAL",[1]SurveyDATA!$JR$1:$JR$1048576,"*STAY*")</f>
        <v>0</v>
      </c>
      <c r="H26" s="6" t="n">
        <f aca="false">COUNTIFS([1]SurveyDATA!$E$1:$E$1048576,"*PANDAYAN*",[1]SurveyDATA!$BS$1:$BS$1048576,"*COMMERCIAL*",[1]SurveyDATA!$BT$1:$BT$1048576,"*STRUCTURE OWNER*",[1]SurveyDATA!$A$1:$A$1048576,"LEGAL",[1]SurveyDATA!$JR$1:$JR$1048576,"*NEED*")</f>
        <v>0</v>
      </c>
      <c r="I26" s="6" t="n">
        <f aca="false">COUNTIFS([1]SurveyDATA!$E$1:$E$1048576,"*PANDAYAN*",[1]SurveyDATA!$BS$1:$BS$1048576,"*INSTITUTIONAL*",[1]SurveyDATA!$BT$1:$BT$1048576,"*STRUCTURE OWNER*",[1]SurveyDATA!$A$1:$A$1048576,"LEGAL",[1]SurveyDATA!$JR$1:$JR$1048576,"*STAY*")</f>
        <v>0</v>
      </c>
      <c r="J26" s="6" t="n">
        <f aca="false">COUNTIFS([1]SurveyDATA!$E$1:$E$1048576,"*PANDAYAN*",[1]SurveyDATA!$BS$1:$BS$1048576,"*INSTITUTIONAL*",[1]SurveyDATA!$BT$1:$BT$1048576,"*STRUCTURE OWNER*",[1]SurveyDATA!$A$1:$A$1048576,"LEGAL",[1]SurveyDATA!$JR$1:$JR$1048576,"*NEED*")</f>
        <v>0</v>
      </c>
      <c r="K26" s="6" t="n">
        <f aca="false">COUNTIFS([1]SurveyDATA!$E$1:$E$1048576,"*PANDAYAN*",[1]SurveyDATA!$BS$1:$BS$1048576,"RESIDENTIAL*",[1]SurveyDATA!$BT$1:$BT$1048576,"*STRUCTURE RENTER*",[1]SurveyDATA!$A$1:$A$1048576,"LEGAL",[1]SurveyDATA!$JR$1:$JR$1048576,"*STAY*")</f>
        <v>0</v>
      </c>
      <c r="L26" s="6" t="n">
        <f aca="false">COUNTIFS([1]SurveyDATA!$E$1:$E$1048576,"*PANDAYAN*",[1]SurveyDATA!$BS$1:$BS$1048576,"RESIDENTIAL*",[1]SurveyDATA!$BT$1:$BT$1048576,"*STRUCTURE RENTER*",[1]SurveyDATA!$A$1:$A$1048576,"LEGAL",[1]SurveyDATA!$JR$1:$JR$1048576,"*NEED*")</f>
        <v>0</v>
      </c>
      <c r="M26" s="6" t="n">
        <f aca="false">COUNTIFS([1]SurveyDATA!$E$1:$E$1048576,"*PANDAYAN*",[1]SurveyDATA!$BS$1:$BS$1048576,"RESIDENTIAL*",[1]SurveyDATA!$BT$1:$BT$1048576,"*STRUCTURE OWNER*",[1]SurveyDATA!$A$1:$A$1048576,"LEGAL",[1]SurveyDATA!$JR$1:$JR$1048576,"*STAY*",[1]SurveyDATA!AS$1:AS$1048576,"*ABSENTEE*")</f>
        <v>0</v>
      </c>
      <c r="N26" s="6" t="n">
        <f aca="false">COUNTIFS([1]SurveyDATA!$E$1:$E$1048576,"*PANDAYAN*",[1]SurveyDATA!$BS$1:$BS$1048576,"RESIDENTIAL*",[1]SurveyDATA!$BT$1:$BT$1048576,"*STRUCTURE OWNER*",[1]SurveyDATA!$A$1:$A$1048576,"LEGAL",[1]SurveyDATA!$JR$1:$JR$1048576,"*NEED*",[1]SurveyDATA!AS$1:AS$1048576,"*ABSENTEE*")</f>
        <v>0</v>
      </c>
      <c r="O26" s="7" t="e">
        <f aca="false">COUNTIFS([1]surveydata!#ref!,"*LEGAL*",[1]surveydata!#ref!,"*PANDAYAN*",[1]SurveyDATA!Q$1:Q$1048576,"LAND OWNER",[1]SurveyDATA!T$1:T$1048576,"&lt;20%",[1]SurveyDATA!AS$1:AS$1048576,"")</f>
        <v>#NAME?</v>
      </c>
      <c r="P26" s="7" t="e">
        <f aca="false">COUNTIFS([1]surveydata!#ref!,"*LEGAL*",[1]surveydata!#ref!,"*PANDAYAN*",[1]SurveyDATA!Q$1:Q$1048576,"LAND OWNER",[1]SurveyDATA!T$1:T$1048576,"&gt;20%",[1]SurveyDATA!AS$1:AS$1048576,"")</f>
        <v>#NAME?</v>
      </c>
      <c r="Q26" s="12"/>
      <c r="R26" s="12"/>
      <c r="S26" s="7" t="e">
        <f aca="false">SUM(Q26,O26,M26,K26,I26,G26,K26,E26,C26,)</f>
        <v>#NAME?</v>
      </c>
      <c r="T26" s="7" t="e">
        <f aca="false">SUM(R26,P26,N26,L26,J26,H26,L26,F26,D26,)</f>
        <v>#NAME?</v>
      </c>
    </row>
    <row r="27" customFormat="false" ht="15" hidden="false" customHeight="false" outlineLevel="0" collapsed="false">
      <c r="A27" s="5"/>
      <c r="B27" s="5" t="s">
        <v>40</v>
      </c>
      <c r="C27" s="6" t="n">
        <f aca="false">COUNTIFS([1]SurveyDATA!$E$1:$E$1048576,"*CATMON*",[1]SurveyDATA!$BS$1:$BS$1048576,"*RESIDENTIAL*",[1]SurveyDATA!$BT$1:$BT$1048576,"*STRUCTURE OWNER*",[1]SurveyDATA!$A$1:$A$1048576,"LEGAL",[1]SurveyDATA!$JR$1:$JR$1048576,"*STAY*")</f>
        <v>2</v>
      </c>
      <c r="D27" s="6" t="n">
        <f aca="false">COUNTIFS([1]SurveyDATA!$E$1:$E$1048576,"*CATMON*",[1]SurveyDATA!$BS$1:$BS$1048576,"*RESIDENTIAL*",[1]SurveyDATA!$BT$1:$BT$1048576,"*STRUCTURE OWNER*",[1]SurveyDATA!$A$1:$A$1048576,"LEGAL",[1]SurveyDATA!$JR$1:$JR$1048576,"*NEED*")</f>
        <v>1</v>
      </c>
      <c r="E27" s="6" t="n">
        <f aca="false">COUNTIFS([1]SurveyDATA!$E$1:$E$1048576,"*TUGATOG*",[1]SurveyDATA!$BS$1:$BS$1048576,"*MIXED*",[1]SurveyDATA!$BT$1:$BT$1048576,"*STRUCTURE OWNER*",[1]SurveyDATA!$A$1:$A$1048576,"LEGAL",[1]SurveyDATA!$JR$1:$JR$1048576,"*STAY*")</f>
        <v>0</v>
      </c>
      <c r="F27" s="6" t="n">
        <f aca="false">COUNTIFS([1]SurveyDATA!$E$1:$E$1048576,"*TUGATOG*",[1]SurveyDATA!$BS$1:$BS$1048576,"*MIXED*",[1]SurveyDATA!$BT$1:$BT$1048576,"*STRUCTURE OWNER*",[1]SurveyDATA!$A$1:$A$1048576,"LEGAL",[1]SurveyDATA!$JR$1:$JR$1048576,"*NEED*")</f>
        <v>0</v>
      </c>
      <c r="G27" s="6" t="n">
        <f aca="false">COUNTIFS([1]SurveyDATA!$E$1:$E$1048576,"*TUGATOG*",[1]SurveyDATA!$BS$1:$BS$1048576,"*COMMERICIAL*",[1]SurveyDATA!$BT$1:$BT$1048576,"*STRUCTURE OWNER*",[1]SurveyDATA!$A$1:$A$1048576,"LEGAL",[1]SurveyDATA!$JR$1:$JR$1048576,"*STAY*")</f>
        <v>0</v>
      </c>
      <c r="H27" s="6" t="n">
        <f aca="false">COUNTIFS([1]SurveyDATA!$E$1:$E$1048576,"*TUGATOG*",[1]SurveyDATA!$BS$1:$BS$1048576,"*COMMERCIAL*",[1]SurveyDATA!$BT$1:$BT$1048576,"*STRUCTURE OWNER*",[1]SurveyDATA!$A$1:$A$1048576,"LEGAL",[1]SurveyDATA!$JR$1:$JR$1048576,"*NEED*")</f>
        <v>0</v>
      </c>
      <c r="I27" s="6" t="n">
        <f aca="false">COUNTIFS([1]SurveyDATA!$E$1:$E$1048576,"*TUGATOG*",[1]SurveyDATA!$BS$1:$BS$1048576,"*INSTITUTIONAL*",[1]SurveyDATA!$BT$1:$BT$1048576,"*STRUCTURE OWNER*",[1]SurveyDATA!$A$1:$A$1048576,"LEGAL",[1]SurveyDATA!$JR$1:$JR$1048576,"*STAY*")</f>
        <v>0</v>
      </c>
      <c r="J27" s="6" t="n">
        <f aca="false">COUNTIFS([1]SurveyDATA!$E$1:$E$1048576,"*TUGATOG*",[1]SurveyDATA!$BS$1:$BS$1048576,"*INSTITUTIONAL*",[1]SurveyDATA!$BT$1:$BT$1048576,"*STRUCTURE OWNER*",[1]SurveyDATA!$A$1:$A$1048576,"LEGAL",[1]SurveyDATA!$JR$1:$JR$1048576,"*NEED*")</f>
        <v>0</v>
      </c>
      <c r="K27" s="6" t="n">
        <f aca="false">COUNTIFS([1]SurveyDATA!$E$1:$E$1048576,"*TUGATOG*",[1]SurveyDATA!$BS$1:$BS$1048576,"RESIDENTIAL*",[1]SurveyDATA!$BT$1:$BT$1048576,"*STRUCTURE RENTER*",[1]SurveyDATA!$A$1:$A$1048576,"LEGAL",[1]SurveyDATA!$JR$1:$JR$1048576,"*STAY*")</f>
        <v>0</v>
      </c>
      <c r="L27" s="6" t="n">
        <f aca="false">COUNTIFS([1]SurveyDATA!$E$1:$E$1048576,"*TUGATOG*",[1]SurveyDATA!$BS$1:$BS$1048576,"RESIDENTIAL*",[1]SurveyDATA!$BT$1:$BT$1048576,"*STRUCTURE RENTER*",[1]SurveyDATA!$A$1:$A$1048576,"LEGAL",[1]SurveyDATA!$JR$1:$JR$1048576,"*NEED*")</f>
        <v>0</v>
      </c>
      <c r="M27" s="6" t="n">
        <f aca="false">COUNTIFS([1]SurveyDATA!$E$1:$E$1048576,"*TUGATOG*",[1]SurveyDATA!$BS$1:$BS$1048576,"RESIDENTIAL*",[1]SurveyDATA!$BT$1:$BT$1048576,"*STRUCTURE OWNER*",[1]SurveyDATA!$A$1:$A$1048576,"LEGAL",[1]SurveyDATA!$JR$1:$JR$1048576,"*STAY*",[1]SurveyDATA!AS$1:AS$1048576,"*ABSENTEE*")</f>
        <v>0</v>
      </c>
      <c r="N27" s="6" t="n">
        <f aca="false">COUNTIFS([1]SurveyDATA!$E$1:$E$1048576,"*TUGATOG*",[1]SurveyDATA!$BS$1:$BS$1048576,"RESIDENTIAL*",[1]SurveyDATA!$BT$1:$BT$1048576,"*STRUCTURE OWNER*",[1]SurveyDATA!$A$1:$A$1048576,"LEGAL",[1]SurveyDATA!$JR$1:$JR$1048576,"*NEED*",[1]SurveyDATA!AS$1:AS$1048576,"*ABSENTEE*")</f>
        <v>0</v>
      </c>
      <c r="O27" s="7" t="e">
        <f aca="false">COUNTIFS([1]surveydata!#ref!,"*LEGAL*",[1]surveydata!#ref!,"*TUGATOG*",[1]SurveyDATA!Q$1:Q$1048576,"LAND OWNER",[1]SurveyDATA!T$1:T$1048576,"&lt;20%",[1]SurveyDATA!AS$1:AS$1048576,"")</f>
        <v>#NAME?</v>
      </c>
      <c r="P27" s="7" t="e">
        <f aca="false">COUNTIFS([1]surveydata!#ref!,"*LEGAL*",[1]surveydata!#ref!,"*TUGATOG*",[1]SurveyDATA!Q$1:Q$1048576,"LAND OWNER",[1]SurveyDATA!T$1:T$1048576,"&gt;20%",[1]SurveyDATA!AS$1:AS$1048576,"")</f>
        <v>#NAME?</v>
      </c>
      <c r="Q27" s="12"/>
      <c r="R27" s="12"/>
      <c r="S27" s="7" t="e">
        <f aca="false">SUM(Q27,O27,M27,K27,I27,G27,K27,E27,C27,)</f>
        <v>#NAME?</v>
      </c>
      <c r="T27" s="7" t="e">
        <f aca="false">SUM(R27,P27,N27,L27,J27,H27,L27,F27,D27,)</f>
        <v>#NAME?</v>
      </c>
    </row>
    <row r="28" customFormat="false" ht="15" hidden="false" customHeight="false" outlineLevel="0" collapsed="false">
      <c r="A28" s="5"/>
      <c r="B28" s="5" t="s">
        <v>41</v>
      </c>
      <c r="C28" s="6" t="n">
        <f aca="false">COUNTIFS([1]SurveyDATA!$E$1:$E$1048576,"*CATMON*",[1]SurveyDATA!$BS$1:$BS$1048576,"*RESIDENTIAL*",[1]SurveyDATA!$BT$1:$BT$1048576,"*STRUCTURE OWNER*",[1]SurveyDATA!$A$1:$A$1048576,"LEGAL",[1]SurveyDATA!$JR$1:$JR$1048576,"*STAY*")</f>
        <v>2</v>
      </c>
      <c r="D28" s="6" t="n">
        <f aca="false">COUNTIFS([1]SurveyDATA!$E$1:$E$1048576,"*CATMON*",[1]SurveyDATA!$BS$1:$BS$1048576,"*RESIDENTIAL*",[1]SurveyDATA!$BT$1:$BT$1048576,"*STRUCTURE OWNER*",[1]SurveyDATA!$A$1:$A$1048576,"LEGAL",[1]SurveyDATA!$JR$1:$JR$1048576,"*NEED*")</f>
        <v>1</v>
      </c>
      <c r="E28" s="6" t="n">
        <f aca="false">COUNTIFS([1]SurveyDATA!$E$1:$E$1048576,"*BANCAL*",[1]SurveyDATA!$BS$1:$BS$1048576,"*MIXED*",[1]SurveyDATA!$BT$1:$BT$1048576,"*STRUCTURE OWNER*",[1]SurveyDATA!$A$1:$A$1048576,"LEGAL",[1]SurveyDATA!$JR$1:$JR$1048576,"*STAY*")</f>
        <v>0</v>
      </c>
      <c r="F28" s="6" t="n">
        <f aca="false">COUNTIFS([1]SurveyDATA!$E$1:$E$1048576,"*BANCAL*",[1]SurveyDATA!$BS$1:$BS$1048576,"*MIXED*",[1]SurveyDATA!$BT$1:$BT$1048576,"*STRUCTURE OWNER*",[1]SurveyDATA!$A$1:$A$1048576,"LEGAL",[1]SurveyDATA!$JR$1:$JR$1048576,"*NEED*")</f>
        <v>0</v>
      </c>
      <c r="G28" s="6" t="n">
        <f aca="false">COUNTIFS([1]SurveyDATA!$E$1:$E$1048576,"*BANCAL*",[1]SurveyDATA!$BS$1:$BS$1048576,"*COMMERICIAL*",[1]SurveyDATA!$BT$1:$BT$1048576,"*STRUCTURE OWNER*",[1]SurveyDATA!$A$1:$A$1048576,"LEGAL",[1]SurveyDATA!$JR$1:$JR$1048576,"*STAY*")</f>
        <v>0</v>
      </c>
      <c r="H28" s="6" t="n">
        <f aca="false">COUNTIFS([1]SurveyDATA!$E$1:$E$1048576,"*BANCAL*",[1]SurveyDATA!$BS$1:$BS$1048576,"*COMMERCIAL*",[1]SurveyDATA!$BT$1:$BT$1048576,"*STRUCTURE OWNER*",[1]SurveyDATA!$A$1:$A$1048576,"LEGAL",[1]SurveyDATA!$JR$1:$JR$1048576,"*NEED*")</f>
        <v>0</v>
      </c>
      <c r="I28" s="6" t="n">
        <f aca="false">COUNTIFS([1]SurveyDATA!$E$1:$E$1048576,"*BANCAL*",[1]SurveyDATA!$BS$1:$BS$1048576,"*INSTITUTIONAL*",[1]SurveyDATA!$BT$1:$BT$1048576,"*STRUCTURE OWNER*",[1]SurveyDATA!$A$1:$A$1048576,"LEGAL",[1]SurveyDATA!$JR$1:$JR$1048576,"*STAY*")</f>
        <v>0</v>
      </c>
      <c r="J28" s="6" t="n">
        <f aca="false">COUNTIFS([1]SurveyDATA!$E$1:$E$1048576,"*BANCAL*",[1]SurveyDATA!$BS$1:$BS$1048576,"*INSTITUTIONAL*",[1]SurveyDATA!$BT$1:$BT$1048576,"*STRUCTURE OWNER*",[1]SurveyDATA!$A$1:$A$1048576,"LEGAL",[1]SurveyDATA!$JR$1:$JR$1048576,"*NEED*")</f>
        <v>0</v>
      </c>
      <c r="K28" s="6" t="n">
        <f aca="false">COUNTIFS([1]SurveyDATA!$E$1:$E$1048576,"*BANCAL*",[1]SurveyDATA!$BS$1:$BS$1048576,"RESIDENTIAL*",[1]SurveyDATA!$BT$1:$BT$1048576,"*STRUCTURE RENTER*",[1]SurveyDATA!$A$1:$A$1048576,"LEGAL",[1]SurveyDATA!$JR$1:$JR$1048576,"*STAY*")</f>
        <v>0</v>
      </c>
      <c r="L28" s="6" t="n">
        <f aca="false">COUNTIFS([1]SurveyDATA!$E$1:$E$1048576,"*BANCAL*",[1]SurveyDATA!$BS$1:$BS$1048576,"RESIDENTIAL*",[1]SurveyDATA!$BT$1:$BT$1048576,"*STRUCTURE RENTER*",[1]SurveyDATA!$A$1:$A$1048576,"LEGAL",[1]SurveyDATA!$JR$1:$JR$1048576,"*NEED*")</f>
        <v>0</v>
      </c>
      <c r="M28" s="6" t="n">
        <f aca="false">COUNTIFS([1]SurveyDATA!$E$1:$E$1048576,"*BANCAL*",[1]SurveyDATA!$BS$1:$BS$1048576,"RESIDENTIAL*",[1]SurveyDATA!$BT$1:$BT$1048576,"*STRUCTURE OWNER*",[1]SurveyDATA!$A$1:$A$1048576,"LEGAL",[1]SurveyDATA!$JR$1:$JR$1048576,"*STAY*",[1]SurveyDATA!AS$1:AS$1048576,"*ABSENTEE*")</f>
        <v>0</v>
      </c>
      <c r="N28" s="6" t="n">
        <f aca="false">COUNTIFS([1]SurveyDATA!$E$1:$E$1048576,"*BANCAL*",[1]SurveyDATA!$BS$1:$BS$1048576,"RESIDENTIAL*",[1]SurveyDATA!$BT$1:$BT$1048576,"*STRUCTURE OWNER*",[1]SurveyDATA!$A$1:$A$1048576,"LEGAL",[1]SurveyDATA!$JR$1:$JR$1048576,"*NEED*",[1]SurveyDATA!AS$1:AS$1048576,"*ABSENTEE*")</f>
        <v>0</v>
      </c>
      <c r="O28" s="7" t="e">
        <f aca="false">COUNTIFS([1]surveydata!#ref!,"*LEGAL*",[1]surveydata!#ref!,"*BANCAL*",[1]SurveyDATA!Q$1:Q$1048576,"LAND OWNER",[1]SurveyDATA!T$1:T$1048576,"&lt;20%",[1]SurveyDATA!AS$1:AS$1048576,"")</f>
        <v>#NAME?</v>
      </c>
      <c r="P28" s="7" t="e">
        <f aca="false">COUNTIFS([1]surveydata!#ref!,"*LEGAL*",[1]surveydata!#ref!,"*BANCAL*",[1]SurveyDATA!Q$1:Q$1048576,"LAND OWNER",[1]SurveyDATA!T$1:T$1048576,"&gt;20%",[1]SurveyDATA!AS$1:AS$1048576,"")</f>
        <v>#NAME?</v>
      </c>
      <c r="Q28" s="12"/>
      <c r="R28" s="12"/>
      <c r="S28" s="7" t="e">
        <f aca="false">SUM(Q28,O28,M28,K28,I28,G28,K28,E28,C28,)</f>
        <v>#NAME?</v>
      </c>
      <c r="T28" s="7" t="e">
        <f aca="false">SUM(R28,P28,N28,L28,J28,H28,L28,F28,D28,)</f>
        <v>#NAME?</v>
      </c>
    </row>
    <row r="29" customFormat="false" ht="15" hidden="false" customHeight="false" outlineLevel="0" collapsed="false">
      <c r="A29" s="5"/>
      <c r="B29" s="5" t="s">
        <v>42</v>
      </c>
      <c r="C29" s="6" t="n">
        <f aca="false">COUNTIFS([1]SurveyDATA!$E$1:$E$1048576,"*CATMON*",[1]SurveyDATA!$BS$1:$BS$1048576,"*RESIDENTIAL*",[1]SurveyDATA!$BT$1:$BT$1048576,"*STRUCTURE OWNER*",[1]SurveyDATA!$A$1:$A$1048576,"LEGAL",[1]SurveyDATA!$JR$1:$JR$1048576,"*STAY*")</f>
        <v>2</v>
      </c>
      <c r="D29" s="6" t="n">
        <f aca="false">COUNTIFS([1]SurveyDATA!$E$1:$E$1048576,"*CATMON*",[1]SurveyDATA!$BS$1:$BS$1048576,"*RESIDENTIAL*",[1]SurveyDATA!$BT$1:$BT$1048576,"*STRUCTURE OWNER*",[1]SurveyDATA!$A$1:$A$1048576,"LEGAL",[1]SurveyDATA!$JR$1:$JR$1048576,"*NEED*")</f>
        <v>1</v>
      </c>
      <c r="E29" s="6" t="n">
        <f aca="false">COUNTIFS([1]SurveyDATA!$E$1:$E$1048576,"*MALHACAN*",[1]SurveyDATA!$BS$1:$BS$1048576,"*MIXED*",[1]SurveyDATA!$BT$1:$BT$1048576,"*STRUCTURE OWNER*",[1]SurveyDATA!$A$1:$A$1048576,"LEGAL",[1]SurveyDATA!$JR$1:$JR$1048576,"*STAY*")</f>
        <v>0</v>
      </c>
      <c r="F29" s="6" t="n">
        <f aca="false">COUNTIFS([1]SurveyDATA!$E$1:$E$1048576,"*MALHACAN*",[1]SurveyDATA!$BS$1:$BS$1048576,"*MIXED*",[1]SurveyDATA!$BT$1:$BT$1048576,"*STRUCTURE OWNER*",[1]SurveyDATA!$A$1:$A$1048576,"LEGAL",[1]SurveyDATA!$JR$1:$JR$1048576,"*NEED*")</f>
        <v>0</v>
      </c>
      <c r="G29" s="6" t="n">
        <f aca="false">COUNTIFS([1]SurveyDATA!$E$1:$E$1048576,"*MALHACAN*",[1]SurveyDATA!$BS$1:$BS$1048576,"*COMMERICIAL*",[1]SurveyDATA!$BT$1:$BT$1048576,"*STRUCTURE OWNER*",[1]SurveyDATA!$A$1:$A$1048576,"LEGAL",[1]SurveyDATA!$JR$1:$JR$1048576,"*STAY*")</f>
        <v>0</v>
      </c>
      <c r="H29" s="6" t="n">
        <f aca="false">COUNTIFS([1]SurveyDATA!$E$1:$E$1048576,"*MALHACAN*",[1]SurveyDATA!$BS$1:$BS$1048576,"*COMMERCIAL*",[1]SurveyDATA!$BT$1:$BT$1048576,"*STRUCTURE OWNER*",[1]SurveyDATA!$A$1:$A$1048576,"LEGAL",[1]SurveyDATA!$JR$1:$JR$1048576,"*NEED*")</f>
        <v>0</v>
      </c>
      <c r="I29" s="6" t="n">
        <f aca="false">COUNTIFS([1]SurveyDATA!$E$1:$E$1048576,"*MALHACAN*",[1]SurveyDATA!$BS$1:$BS$1048576,"*INSTITUTIONAL*",[1]SurveyDATA!$BT$1:$BT$1048576,"*STRUCTURE OWNER*",[1]SurveyDATA!$A$1:$A$1048576,"LEGAL",[1]SurveyDATA!$JR$1:$JR$1048576,"*STAY*")</f>
        <v>0</v>
      </c>
      <c r="J29" s="6" t="n">
        <f aca="false">COUNTIFS([1]SurveyDATA!$E$1:$E$1048576,"*MALHACAN*",[1]SurveyDATA!$BS$1:$BS$1048576,"*INSTITUTIONAL*",[1]SurveyDATA!$BT$1:$BT$1048576,"*STRUCTURE OWNER*",[1]SurveyDATA!$A$1:$A$1048576,"LEGAL",[1]SurveyDATA!$JR$1:$JR$1048576,"*NEED*")</f>
        <v>0</v>
      </c>
      <c r="K29" s="6" t="n">
        <f aca="false">COUNTIFS([1]SurveyDATA!$E$1:$E$1048576,"*MALHACAN*",[1]SurveyDATA!$BS$1:$BS$1048576,"RESIDENTIAL*",[1]SurveyDATA!$BT$1:$BT$1048576,"*STRUCTURE RENTER*",[1]SurveyDATA!$A$1:$A$1048576,"LEGAL",[1]SurveyDATA!$JR$1:$JR$1048576,"*STAY*")</f>
        <v>0</v>
      </c>
      <c r="L29" s="6" t="n">
        <f aca="false">COUNTIFS([1]SurveyDATA!$E$1:$E$1048576,"*MALHACAN*",[1]SurveyDATA!$BS$1:$BS$1048576,"RESIDENTIAL*",[1]SurveyDATA!$BT$1:$BT$1048576,"*STRUCTURE RENTER*",[1]SurveyDATA!$A$1:$A$1048576,"LEGAL",[1]SurveyDATA!$JR$1:$JR$1048576,"*NEED*")</f>
        <v>0</v>
      </c>
      <c r="M29" s="6" t="n">
        <f aca="false">COUNTIFS([1]SurveyDATA!$E$1:$E$1048576,"*MALHACAN*",[1]SurveyDATA!$BS$1:$BS$1048576,"RESIDENTIAL*",[1]SurveyDATA!$BT$1:$BT$1048576,"*STRUCTURE OWNER*",[1]SurveyDATA!$A$1:$A$1048576,"LEGAL",[1]SurveyDATA!$JR$1:$JR$1048576,"*STAY*",[1]SurveyDATA!AS$1:AS$1048576,"*ABSENTEE*")</f>
        <v>0</v>
      </c>
      <c r="N29" s="6" t="n">
        <f aca="false">COUNTIFS([1]SurveyDATA!$E$1:$E$1048576,"*MALHACAN*",[1]SurveyDATA!$BS$1:$BS$1048576,"RESIDENTIAL*",[1]SurveyDATA!$BT$1:$BT$1048576,"*STRUCTURE OWNER*",[1]SurveyDATA!$A$1:$A$1048576,"LEGAL",[1]SurveyDATA!$JR$1:$JR$1048576,"*NEED*",[1]SurveyDATA!AS$1:AS$1048576,"*ABSENTEE*")</f>
        <v>0</v>
      </c>
      <c r="O29" s="7" t="e">
        <f aca="false">COUNTIFS([1]surveydata!#ref!,"*LEGAL*",[1]surveydata!#ref!,"*MALHACAN*",[1]SurveyDATA!Q$1:Q$1048576,"LAND OWNER",[1]SurveyDATA!T$1:T$1048576,"&lt;20%",[1]SurveyDATA!AS$1:AS$1048576,"")</f>
        <v>#NAME?</v>
      </c>
      <c r="P29" s="7" t="e">
        <f aca="false">COUNTIFS([1]surveydata!#ref!,"*LEGAL*",[1]surveydata!#ref!,"*MALHACAN*",[1]SurveyDATA!Q$1:Q$1048576,"LAND OWNER",[1]SurveyDATA!T$1:T$1048576,"&gt;20%",[1]SurveyDATA!AS$1:AS$1048576,"")</f>
        <v>#NAME?</v>
      </c>
      <c r="Q29" s="12"/>
      <c r="R29" s="12"/>
      <c r="S29" s="7" t="e">
        <f aca="false">SUM(Q29,O29,M29,K29,I29,G29,K29,E29,C29,)</f>
        <v>#NAME?</v>
      </c>
      <c r="T29" s="7" t="e">
        <f aca="false">SUM(R29,P29,N29,L29,J29,H29,L29,F29,D29,)</f>
        <v>#NAME?</v>
      </c>
    </row>
    <row r="30" customFormat="false" ht="15" hidden="false" customHeight="false" outlineLevel="0" collapsed="false">
      <c r="A30" s="9"/>
      <c r="B30" s="10" t="s">
        <v>22</v>
      </c>
      <c r="C30" s="11" t="n">
        <f aca="false">SUM(C26:C29)</f>
        <v>8</v>
      </c>
      <c r="D30" s="11" t="n">
        <f aca="false">SUM(D26:D29)</f>
        <v>4</v>
      </c>
      <c r="E30" s="11" t="n">
        <f aca="false">SUM(E26:E29)</f>
        <v>0</v>
      </c>
      <c r="F30" s="11" t="n">
        <f aca="false">SUM(F26:F29)</f>
        <v>0</v>
      </c>
      <c r="G30" s="11" t="n">
        <f aca="false">SUM(G26:G29)</f>
        <v>0</v>
      </c>
      <c r="H30" s="11" t="n">
        <f aca="false">SUM(H26:H29)</f>
        <v>0</v>
      </c>
      <c r="I30" s="11" t="n">
        <f aca="false">SUM(I26:I29)</f>
        <v>0</v>
      </c>
      <c r="J30" s="11" t="n">
        <f aca="false">SUM(J26:J29)</f>
        <v>0</v>
      </c>
      <c r="K30" s="11" t="n">
        <f aca="false">SUM(K26:K29)</f>
        <v>0</v>
      </c>
      <c r="L30" s="11" t="n">
        <f aca="false">SUM(L26:L29)</f>
        <v>0</v>
      </c>
      <c r="M30" s="11" t="n">
        <f aca="false">SUM(M26:M29)</f>
        <v>0</v>
      </c>
      <c r="N30" s="11" t="n">
        <f aca="false">SUM(N26:N29)</f>
        <v>0</v>
      </c>
      <c r="O30" s="11" t="e">
        <f aca="false">SUM(O26:O29)</f>
        <v>#NAME?</v>
      </c>
      <c r="P30" s="11" t="e">
        <f aca="false">SUM(P26:P29)</f>
        <v>#NAME?</v>
      </c>
      <c r="Q30" s="11" t="n">
        <f aca="false">SUM(Q26:Q29)</f>
        <v>0</v>
      </c>
      <c r="R30" s="11" t="n">
        <f aca="false">SUM(R26:R29)</f>
        <v>0</v>
      </c>
      <c r="S30" s="11" t="e">
        <f aca="false">SUM(S26:S29)</f>
        <v>#NAME?</v>
      </c>
      <c r="T30" s="11" t="e">
        <f aca="false">SUM(T26:T29)</f>
        <v>#NAME?</v>
      </c>
    </row>
    <row r="31" customFormat="false" ht="15" hidden="false" customHeight="false" outlineLevel="0" collapsed="false">
      <c r="A31" s="5" t="s">
        <v>43</v>
      </c>
      <c r="B31" s="5" t="s">
        <v>44</v>
      </c>
      <c r="C31" s="6" t="n">
        <f aca="false">COUNTIFS([1]SurveyDATA!$E$1:$E$1048576,"*CATMON*",[1]SurveyDATA!$BS$1:$BS$1048576,"*RESIDENTIAL*",[1]SurveyDATA!$BT$1:$BT$1048576,"*STRUCTURE OWNER*",[1]SurveyDATA!$A$1:$A$1048576,"LEGAL",[1]SurveyDATA!$JR$1:$JR$1048576,"*STAY*")</f>
        <v>2</v>
      </c>
      <c r="D31" s="6" t="n">
        <f aca="false">COUNTIFS([1]SurveyDATA!$E$1:$E$1048576,"*CATMON*",[1]SurveyDATA!$BS$1:$BS$1048576,"*RESIDENTIAL*",[1]SurveyDATA!$BT$1:$BT$1048576,"*STRUCTURE OWNER*",[1]SurveyDATA!$A$1:$A$1048576,"LEGAL",[1]SurveyDATA!$JR$1:$JR$1048576,"*NEED*")</f>
        <v>1</v>
      </c>
      <c r="E31" s="6" t="n">
        <f aca="false">COUNTIFS([1]SurveyDATA!$E$1:$E$1048576,"*MALANDAY*",[1]SurveyDATA!$BS$1:$BS$1048576,"*MIXED*",[1]SurveyDATA!$BT$1:$BT$1048576,"*STRUCTURE OWNER*",[1]SurveyDATA!$A$1:$A$1048576,"LEGAL",[1]SurveyDATA!$JR$1:$JR$1048576,"*STAY*")</f>
        <v>0</v>
      </c>
      <c r="F31" s="6" t="n">
        <f aca="false">COUNTIFS([1]SurveyDATA!$E$1:$E$1048576,"*MALANDAY*",[1]SurveyDATA!$BS$1:$BS$1048576,"*MIXED*",[1]SurveyDATA!$BT$1:$BT$1048576,"*STRUCTURE OWNER*",[1]SurveyDATA!$A$1:$A$1048576,"LEGAL",[1]SurveyDATA!$JR$1:$JR$1048576,"*NEED*")</f>
        <v>0</v>
      </c>
      <c r="G31" s="6" t="n">
        <f aca="false">COUNTIFS([1]SurveyDATA!$E$1:$E$1048576,"*MALANDAY*",[1]SurveyDATA!$BS$1:$BS$1048576,"*COMMERICIAL*",[1]SurveyDATA!$BT$1:$BT$1048576,"*STRUCTURE OWNER*",[1]SurveyDATA!$A$1:$A$1048576,"LEGAL",[1]SurveyDATA!$JR$1:$JR$1048576,"*STAY*")</f>
        <v>0</v>
      </c>
      <c r="H31" s="6" t="n">
        <f aca="false">COUNTIFS([1]SurveyDATA!$E$1:$E$1048576,"*MALANDAY*",[1]SurveyDATA!$BS$1:$BS$1048576,"*COMMERCIAL*",[1]SurveyDATA!$BT$1:$BT$1048576,"*STRUCTURE OWNER*",[1]SurveyDATA!$A$1:$A$1048576,"LEGAL",[1]SurveyDATA!$JR$1:$JR$1048576,"*NEED*")</f>
        <v>1</v>
      </c>
      <c r="I31" s="6" t="n">
        <f aca="false">COUNTIFS([1]SurveyDATA!$E$1:$E$1048576,"*MALANDAY*",[1]SurveyDATA!$BS$1:$BS$1048576,"*INSTITUTIONAL*",[1]SurveyDATA!$BT$1:$BT$1048576,"*STRUCTURE OWNER*",[1]SurveyDATA!$A$1:$A$1048576,"LEGAL",[1]SurveyDATA!$JR$1:$JR$1048576,"*STAY*")</f>
        <v>0</v>
      </c>
      <c r="J31" s="6" t="n">
        <f aca="false">COUNTIFS([1]SurveyDATA!$E$1:$E$1048576,"*MALANDAY*",[1]SurveyDATA!$BS$1:$BS$1048576,"*INSTITUTIONAL*",[1]SurveyDATA!$BT$1:$BT$1048576,"*STRUCTURE OWNER*",[1]SurveyDATA!$A$1:$A$1048576,"LEGAL",[1]SurveyDATA!$JR$1:$JR$1048576,"*NEED*")</f>
        <v>0</v>
      </c>
      <c r="K31" s="6" t="n">
        <f aca="false">COUNTIFS([1]SurveyDATA!$E$1:$E$1048576,"*MALANDAY*",[1]SurveyDATA!$BS$1:$BS$1048576,"RESIDENTIAL*",[1]SurveyDATA!$BT$1:$BT$1048576,"*STRUCTURE RENTER*",[1]SurveyDATA!$A$1:$A$1048576,"LEGAL",[1]SurveyDATA!$JR$1:$JR$1048576,"*STAY*")</f>
        <v>0</v>
      </c>
      <c r="L31" s="6" t="n">
        <f aca="false">COUNTIFS([1]SurveyDATA!$E$1:$E$1048576,"*MALANDAY*",[1]SurveyDATA!$BS$1:$BS$1048576,"RESIDENTIAL*",[1]SurveyDATA!$BT$1:$BT$1048576,"*STRUCTURE RENTER*",[1]SurveyDATA!$A$1:$A$1048576,"LEGAL",[1]SurveyDATA!$JR$1:$JR$1048576,"*NEED*")</f>
        <v>0</v>
      </c>
      <c r="M31" s="6" t="n">
        <f aca="false">COUNTIFS([1]SurveyDATA!$E$1:$E$1048576,"*MALANDAY*",[1]SurveyDATA!$BS$1:$BS$1048576,"RESIDENTIAL*",[1]SurveyDATA!$BT$1:$BT$1048576,"*STRUCTURE OWNER*",[1]SurveyDATA!$A$1:$A$1048576,"LEGAL",[1]SurveyDATA!$JR$1:$JR$1048576,"*STAY*",[1]SurveyDATA!AS$1:AS$1048576,"*ABSENTEE*")</f>
        <v>0</v>
      </c>
      <c r="N31" s="6" t="n">
        <f aca="false">COUNTIFS([1]SurveyDATA!$E$1:$E$1048576,"*MALANDAY*",[1]SurveyDATA!$BS$1:$BS$1048576,"RESIDENTIAL*",[1]SurveyDATA!$BT$1:$BT$1048576,"*STRUCTURE OWNER*",[1]SurveyDATA!$A$1:$A$1048576,"LEGAL",[1]SurveyDATA!$JR$1:$JR$1048576,"*NEED*",[1]SurveyDATA!AS$1:AS$1048576,"*ABSENTEE*")</f>
        <v>0</v>
      </c>
      <c r="O31" s="7" t="e">
        <f aca="false">COUNTIFS([1]surveydata!#ref!,"*LEGAL*",[1]surveydata!#ref!,"*MALANDAY*",[1]SurveyDATA!Q$1:Q$1048576,"LAND OWNER",[1]SurveyDATA!T$1:T$1048576,"&lt;20%",[1]SurveyDATA!AS$1:AS$1048576,"")</f>
        <v>#NAME?</v>
      </c>
      <c r="P31" s="7" t="e">
        <f aca="false">COUNTIFS([1]surveydata!#ref!,"*LEGAL*",[1]surveydata!#ref!,"*MALANDAY*",[1]SurveyDATA!Q$1:Q$1048576,"LAND OWNER",[1]SurveyDATA!T$1:T$1048576,"&gt;20%",[1]SurveyDATA!AS$1:AS$1048576,"")</f>
        <v>#NAME?</v>
      </c>
      <c r="Q31" s="12"/>
      <c r="R31" s="12"/>
      <c r="S31" s="7" t="e">
        <f aca="false">SUM(Q31,O31,M31,K31,I31,G31,K31,E31,C31,)</f>
        <v>#NAME?</v>
      </c>
      <c r="T31" s="7" t="e">
        <f aca="false">SUM(R31,P31,N31,L31,J31,H31,L31,F31,D31,)</f>
        <v>#NAME?</v>
      </c>
    </row>
    <row r="32" customFormat="false" ht="15" hidden="false" customHeight="false" outlineLevel="0" collapsed="false">
      <c r="A32" s="5"/>
      <c r="B32" s="5" t="s">
        <v>45</v>
      </c>
      <c r="C32" s="6" t="n">
        <f aca="false">COUNTIFS([1]SurveyDATA!$E$1:$E$1048576,"*CATMON*",[1]SurveyDATA!$BS$1:$BS$1048576,"*RESIDENTIAL*",[1]SurveyDATA!$BT$1:$BT$1048576,"*STRUCTURE OWNER*",[1]SurveyDATA!$A$1:$A$1048576,"LEGAL",[1]SurveyDATA!$JR$1:$JR$1048576,"*STAY*")</f>
        <v>2</v>
      </c>
      <c r="D32" s="6" t="n">
        <f aca="false">COUNTIFS([1]SurveyDATA!$E$1:$E$1048576,"*CATMON*",[1]SurveyDATA!$BS$1:$BS$1048576,"*RESIDENTIAL*",[1]SurveyDATA!$BT$1:$BT$1048576,"*STRUCTURE OWNER*",[1]SurveyDATA!$A$1:$A$1048576,"LEGAL",[1]SurveyDATA!$JR$1:$JR$1048576,"*NEED*")</f>
        <v>1</v>
      </c>
      <c r="E32" s="6" t="n">
        <f aca="false">COUNTIFS([1]SurveyDATA!$E$1:$E$1048576,"*DALANDANAN*",[1]SurveyDATA!$BS$1:$BS$1048576,"*MIXED*",[1]SurveyDATA!$BT$1:$BT$1048576,"*STRUCTURE OWNER*",[1]SurveyDATA!$A$1:$A$1048576,"LEGAL",[1]SurveyDATA!$JR$1:$JR$1048576,"*STAY*")</f>
        <v>1</v>
      </c>
      <c r="F32" s="6" t="n">
        <f aca="false">COUNTIFS([1]SurveyDATA!$E$1:$E$1048576,"*DALANDANAN*",[1]SurveyDATA!$BS$1:$BS$1048576,"*MIXED*",[1]SurveyDATA!$BT$1:$BT$1048576,"*STRUCTURE OWNER*",[1]SurveyDATA!$A$1:$A$1048576,"LEGAL",[1]SurveyDATA!$JR$1:$JR$1048576,"*NEED*")</f>
        <v>0</v>
      </c>
      <c r="G32" s="6" t="n">
        <f aca="false">COUNTIFS([1]SurveyDATA!$E$1:$E$1048576,"*DALANDANAN*",[1]SurveyDATA!$BS$1:$BS$1048576,"*COMMERICIAL*",[1]SurveyDATA!$BT$1:$BT$1048576,"*STRUCTURE OWNER*",[1]SurveyDATA!$A$1:$A$1048576,"LEGAL",[1]SurveyDATA!$JR$1:$JR$1048576,"*STAY*")</f>
        <v>0</v>
      </c>
      <c r="H32" s="6" t="n">
        <f aca="false">COUNTIFS([1]SurveyDATA!$E$1:$E$1048576,"*DALANDANAN*",[1]SurveyDATA!$BS$1:$BS$1048576,"*COMMERCIAL*",[1]SurveyDATA!$BT$1:$BT$1048576,"*STRUCTURE OWNER*",[1]SurveyDATA!$A$1:$A$1048576,"LEGAL",[1]SurveyDATA!$JR$1:$JR$1048576,"*NEED*")</f>
        <v>0</v>
      </c>
      <c r="I32" s="6" t="n">
        <f aca="false">COUNTIFS([1]SurveyDATA!$E$1:$E$1048576,"*DALANDANAN*",[1]SurveyDATA!$BS$1:$BS$1048576,"*INSTITUTIONAL*",[1]SurveyDATA!$BT$1:$BT$1048576,"*STRUCTURE OWNER*",[1]SurveyDATA!$A$1:$A$1048576,"LEGAL",[1]SurveyDATA!$JR$1:$JR$1048576,"*STAY*")</f>
        <v>0</v>
      </c>
      <c r="J32" s="6" t="n">
        <f aca="false">COUNTIFS([1]SurveyDATA!$E$1:$E$1048576,"*DALANDANAN*",[1]SurveyDATA!$BS$1:$BS$1048576,"*INSTITUTIONAL*",[1]SurveyDATA!$BT$1:$BT$1048576,"*STRUCTURE OWNER*",[1]SurveyDATA!$A$1:$A$1048576,"LEGAL",[1]SurveyDATA!$JR$1:$JR$1048576,"*NEED*")</f>
        <v>0</v>
      </c>
      <c r="K32" s="6" t="n">
        <f aca="false">COUNTIFS([1]SurveyDATA!$E$1:$E$1048576,"*DALANDANAN*",[1]SurveyDATA!$BS$1:$BS$1048576,"RESIDENTIAL*",[1]SurveyDATA!$BT$1:$BT$1048576,"*STRUCTURE RENTER*",[1]SurveyDATA!$A$1:$A$1048576,"LEGAL",[1]SurveyDATA!$JR$1:$JR$1048576,"*STAY*")</f>
        <v>0</v>
      </c>
      <c r="L32" s="6" t="n">
        <f aca="false">COUNTIFS([1]SurveyDATA!$E$1:$E$1048576,"*DALANDANAN*",[1]SurveyDATA!$BS$1:$BS$1048576,"RESIDENTIAL*",[1]SurveyDATA!$BT$1:$BT$1048576,"*STRUCTURE RENTER*",[1]SurveyDATA!$A$1:$A$1048576,"LEGAL",[1]SurveyDATA!$JR$1:$JR$1048576,"*NEED*")</f>
        <v>0</v>
      </c>
      <c r="M32" s="6" t="n">
        <f aca="false">COUNTIFS([1]SurveyDATA!$E$1:$E$1048576,"*DALANDANAN*",[1]SurveyDATA!$BS$1:$BS$1048576,"RESIDENTIAL*",[1]SurveyDATA!$BT$1:$BT$1048576,"*STRUCTURE OWNER*",[1]SurveyDATA!$A$1:$A$1048576,"LEGAL",[1]SurveyDATA!$JR$1:$JR$1048576,"*STAY*",[1]SurveyDATA!AS$1:AS$1048576,"*ABSENTEE*")</f>
        <v>0</v>
      </c>
      <c r="N32" s="6" t="n">
        <f aca="false">COUNTIFS([1]SurveyDATA!$E$1:$E$1048576,"*DALANDANAN*",[1]SurveyDATA!$BS$1:$BS$1048576,"RESIDENTIAL*",[1]SurveyDATA!$BT$1:$BT$1048576,"*STRUCTURE OWNER*",[1]SurveyDATA!$A$1:$A$1048576,"LEGAL",[1]SurveyDATA!$JR$1:$JR$1048576,"*NEED*",[1]SurveyDATA!AS$1:AS$1048576,"*ABSENTEE*")</f>
        <v>0</v>
      </c>
      <c r="O32" s="7" t="e">
        <f aca="false">COUNTIFS([1]surveydata!#ref!,"*LEGAL*",[1]surveydata!#ref!,"*DALANDANAN*",[1]SurveyDATA!Q$1:Q$1048576,"LAND OWNER",[1]SurveyDATA!T$1:T$1048576,"&lt;20%",[1]SurveyDATA!AS$1:AS$1048576,"")</f>
        <v>#NAME?</v>
      </c>
      <c r="P32" s="7" t="e">
        <f aca="false">COUNTIFS([1]surveydata!#ref!,"*LEGAL*",[1]surveydata!#ref!,"*DALANDANAN*",[1]SurveyDATA!Q$1:Q$1048576,"LAND OWNER",[1]SurveyDATA!T$1:T$1048576,"&gt;20%",[1]SurveyDATA!AS$1:AS$1048576,"")</f>
        <v>#NAME?</v>
      </c>
      <c r="Q32" s="12"/>
      <c r="R32" s="12"/>
      <c r="S32" s="7" t="e">
        <f aca="false">SUM(Q32,O32,M32,K32,I32,G32,K32,E32,C32,)</f>
        <v>#NAME?</v>
      </c>
      <c r="T32" s="7" t="e">
        <f aca="false">SUM(R32,P32,N32,L32,J32,H32,L32,F32,D32,)</f>
        <v>#NAME?</v>
      </c>
    </row>
    <row r="33" customFormat="false" ht="15" hidden="false" customHeight="false" outlineLevel="0" collapsed="false">
      <c r="A33" s="5"/>
      <c r="B33" s="5" t="s">
        <v>46</v>
      </c>
      <c r="C33" s="6" t="n">
        <f aca="false">COUNTIFS([1]SurveyDATA!$E$1:$E$1048576,"*CATMON*",[1]SurveyDATA!$BS$1:$BS$1048576,"*RESIDENTIAL*",[1]SurveyDATA!$BT$1:$BT$1048576,"*STRUCTURE OWNER*",[1]SurveyDATA!$A$1:$A$1048576,"LEGAL",[1]SurveyDATA!$JR$1:$JR$1048576,"*STAY*")</f>
        <v>2</v>
      </c>
      <c r="D33" s="6" t="n">
        <f aca="false">COUNTIFS([1]SurveyDATA!$E$1:$E$1048576,"*CATMON*",[1]SurveyDATA!$BS$1:$BS$1048576,"*RESIDENTIAL*",[1]SurveyDATA!$BT$1:$BT$1048576,"*STRUCTURE OWNER*",[1]SurveyDATA!$A$1:$A$1048576,"LEGAL",[1]SurveyDATA!$JR$1:$JR$1048576,"*NEED*")</f>
        <v>1</v>
      </c>
      <c r="E33" s="6" t="n">
        <f aca="false">COUNTIFS([1]SurveyDATA!$E$1:$E$1048576,"*MALINTA*",[1]SurveyDATA!$BS$1:$BS$1048576,"*MIXED*",[1]SurveyDATA!$BT$1:$BT$1048576,"*STRUCTURE OWNER*",[1]SurveyDATA!$A$1:$A$1048576,"LEGAL",[1]SurveyDATA!$JR$1:$JR$1048576,"*STAY*")</f>
        <v>1</v>
      </c>
      <c r="F33" s="6" t="n">
        <f aca="false">COUNTIFS([1]SurveyDATA!$E$1:$E$1048576,"*MALINTA*",[1]SurveyDATA!$BS$1:$BS$1048576,"*MIXED*",[1]SurveyDATA!$BT$1:$BT$1048576,"*STRUCTURE OWNER*",[1]SurveyDATA!$A$1:$A$1048576,"LEGAL",[1]SurveyDATA!$JR$1:$JR$1048576,"*NEED*")</f>
        <v>2</v>
      </c>
      <c r="G33" s="6" t="n">
        <f aca="false">COUNTIFS([1]SurveyDATA!$E$1:$E$1048576,"*MALINTA*",[1]SurveyDATA!$BS$1:$BS$1048576,"*COMMERICIAL*",[1]SurveyDATA!$BT$1:$BT$1048576,"*STRUCTURE OWNER*",[1]SurveyDATA!$A$1:$A$1048576,"LEGAL",[1]SurveyDATA!$JR$1:$JR$1048576,"*STAY*")</f>
        <v>0</v>
      </c>
      <c r="H33" s="6" t="n">
        <f aca="false">COUNTIFS([1]SurveyDATA!$E$1:$E$1048576,"*MALINTA*",[1]SurveyDATA!$BS$1:$BS$1048576,"*COMMERCIAL*",[1]SurveyDATA!$BT$1:$BT$1048576,"*STRUCTURE OWNER*",[1]SurveyDATA!$A$1:$A$1048576,"LEGAL",[1]SurveyDATA!$JR$1:$JR$1048576,"*NEED*")</f>
        <v>0</v>
      </c>
      <c r="I33" s="6" t="n">
        <f aca="false">COUNTIFS([1]SurveyDATA!$E$1:$E$1048576,"*MALINTA*",[1]SurveyDATA!$BS$1:$BS$1048576,"*INSTITUTIONAL*",[1]SurveyDATA!$BT$1:$BT$1048576,"*STRUCTURE OWNER*",[1]SurveyDATA!$A$1:$A$1048576,"LEGAL",[1]SurveyDATA!$JR$1:$JR$1048576,"*STAY*")</f>
        <v>0</v>
      </c>
      <c r="J33" s="6" t="n">
        <f aca="false">COUNTIFS([1]SurveyDATA!$E$1:$E$1048576,"*MALINTA*",[1]SurveyDATA!$BS$1:$BS$1048576,"*INSTITUTIONAL*",[1]SurveyDATA!$BT$1:$BT$1048576,"*STRUCTURE OWNER*",[1]SurveyDATA!$A$1:$A$1048576,"LEGAL",[1]SurveyDATA!$JR$1:$JR$1048576,"*NEED*")</f>
        <v>0</v>
      </c>
      <c r="K33" s="6" t="n">
        <f aca="false">COUNTIFS([1]SurveyDATA!$E$1:$E$1048576,"*MALINTA*",[1]SurveyDATA!$BS$1:$BS$1048576,"RESIDENTIAL*",[1]SurveyDATA!$BT$1:$BT$1048576,"*STRUCTURE RENTER*",[1]SurveyDATA!$A$1:$A$1048576,"LEGAL",[1]SurveyDATA!$JR$1:$JR$1048576,"*STAY*")</f>
        <v>0</v>
      </c>
      <c r="L33" s="6" t="n">
        <f aca="false">COUNTIFS([1]SurveyDATA!$E$1:$E$1048576,"*MALHACAN*",[1]SurveyDATA!$BS$1:$BS$1048576,"RESIDENTIAL*",[1]SurveyDATA!$BT$1:$BT$1048576,"*STRUCTURE RENTER*",[1]SurveyDATA!$A$1:$A$1048576,"LEGAL",[1]SurveyDATA!$JR$1:$JR$1048576,"*NEED*")</f>
        <v>0</v>
      </c>
      <c r="M33" s="6" t="n">
        <f aca="false">COUNTIFS([1]SurveyDATA!$E$1:$E$1048576,"*MALINTA*",[1]SurveyDATA!$BS$1:$BS$1048576,"RESIDENTIAL*",[1]SurveyDATA!$BT$1:$BT$1048576,"*STRUCTURE OWNER*",[1]SurveyDATA!$A$1:$A$1048576,"LEGAL",[1]SurveyDATA!$JR$1:$JR$1048576,"*STAY*",[1]SurveyDATA!AS$1:AS$1048576,"*ABSENTEE*")</f>
        <v>0</v>
      </c>
      <c r="N33" s="6" t="n">
        <f aca="false">COUNTIFS([1]SurveyDATA!$E$1:$E$1048576,"*MALINTA*",[1]SurveyDATA!$BS$1:$BS$1048576,"RESIDENTIAL*",[1]SurveyDATA!$BT$1:$BT$1048576,"*STRUCTURE OWNER*",[1]SurveyDATA!$A$1:$A$1048576,"LEGAL",[1]SurveyDATA!$JR$1:$JR$1048576,"*NEED*",[1]SurveyDATA!AS$1:AS$1048576,"*ABSENTEE*")</f>
        <v>0</v>
      </c>
      <c r="O33" s="7" t="e">
        <f aca="false">COUNTIFS([1]surveydata!#ref!,"*LEGAL*",[1]surveydata!#ref!,"*MALINTA*",[1]SurveyDATA!Q$1:Q$1048576,"LAND OWNER",[1]SurveyDATA!T$1:T$1048576,"&lt;20%",[1]SurveyDATA!AS$1:AS$1048576,"")</f>
        <v>#NAME?</v>
      </c>
      <c r="P33" s="7" t="e">
        <f aca="false">COUNTIFS([1]surveydata!#ref!,"*LEGAL*",[1]surveydata!#ref!,"*MALINTA*",[1]SurveyDATA!Q$1:Q$1048576,"LAND OWNER",[1]SurveyDATA!T$1:T$1048576,"&gt;20%",[1]SurveyDATA!AS$1:AS$1048576,"")</f>
        <v>#NAME?</v>
      </c>
      <c r="Q33" s="12"/>
      <c r="R33" s="12"/>
      <c r="S33" s="7" t="e">
        <f aca="false">SUM(Q33,O33,M33,K33,I33,G33,K33,E33,C33,)</f>
        <v>#NAME?</v>
      </c>
      <c r="T33" s="7" t="e">
        <f aca="false">SUM(R33,P33,N33,L33,J33,H33,L33,F33,D33,)</f>
        <v>#NAME?</v>
      </c>
    </row>
    <row r="34" customFormat="false" ht="15" hidden="false" customHeight="false" outlineLevel="0" collapsed="false">
      <c r="A34" s="9"/>
      <c r="B34" s="10" t="s">
        <v>22</v>
      </c>
      <c r="C34" s="11" t="n">
        <f aca="false">SUM(C31:C33)</f>
        <v>6</v>
      </c>
      <c r="D34" s="11" t="n">
        <f aca="false">SUM(D31:D33)</f>
        <v>3</v>
      </c>
      <c r="E34" s="11" t="n">
        <f aca="false">SUM(E31:E33)</f>
        <v>2</v>
      </c>
      <c r="F34" s="11" t="n">
        <f aca="false">SUM(F31:F33)</f>
        <v>2</v>
      </c>
      <c r="G34" s="11" t="n">
        <f aca="false">SUM(G31:G33)</f>
        <v>0</v>
      </c>
      <c r="H34" s="11" t="n">
        <f aca="false">SUM(H31:H33)</f>
        <v>1</v>
      </c>
      <c r="I34" s="11" t="n">
        <f aca="false">SUM(I31:I33)</f>
        <v>0</v>
      </c>
      <c r="J34" s="11" t="n">
        <f aca="false">SUM(J31:J33)</f>
        <v>0</v>
      </c>
      <c r="K34" s="11" t="n">
        <f aca="false">SUM(K31:K33)</f>
        <v>0</v>
      </c>
      <c r="L34" s="11" t="n">
        <f aca="false">SUM(L31:L33)</f>
        <v>0</v>
      </c>
      <c r="M34" s="11" t="n">
        <f aca="false">SUM(M31:M33)</f>
        <v>0</v>
      </c>
      <c r="N34" s="11" t="n">
        <f aca="false">SUM(N31:N33)</f>
        <v>0</v>
      </c>
      <c r="O34" s="11" t="e">
        <f aca="false">SUM(O31:O33)</f>
        <v>#NAME?</v>
      </c>
      <c r="P34" s="11" t="e">
        <f aca="false">SUM(P31:P33)</f>
        <v>#NAME?</v>
      </c>
      <c r="Q34" s="11" t="n">
        <f aca="false">SUM(Q31:Q33)</f>
        <v>0</v>
      </c>
      <c r="R34" s="11" t="n">
        <f aca="false">SUM(R31:R33)</f>
        <v>0</v>
      </c>
      <c r="S34" s="11" t="e">
        <f aca="false">SUM(S31:S33)</f>
        <v>#NAME?</v>
      </c>
      <c r="T34" s="11" t="e">
        <f aca="false">SUM(T31:T33)</f>
        <v>#NAME?</v>
      </c>
    </row>
    <row r="35" customFormat="false" ht="15" hidden="false" customHeight="false" outlineLevel="0" collapsed="false">
      <c r="A35" s="5" t="s">
        <v>47</v>
      </c>
      <c r="B35" s="5" t="s">
        <v>48</v>
      </c>
      <c r="C35" s="6" t="n">
        <f aca="false">COUNTIFS([1]SurveyDATA!$E$1:$E$1048576,"*CATMON*",[1]SurveyDATA!$BS$1:$BS$1048576,"*RESIDENTIAL*",[1]SurveyDATA!$BT$1:$BT$1048576,"*STRUCTURE OWNER*",[1]SurveyDATA!$A$1:$A$1048576,"LEGAL",[1]SurveyDATA!$JR$1:$JR$1048576,"*STAY*")</f>
        <v>2</v>
      </c>
      <c r="D35" s="6" t="n">
        <f aca="false">COUNTIFS([1]SurveyDATA!$E$1:$E$1048576,"*CATMON*",[1]SurveyDATA!$BS$1:$BS$1048576,"*RESIDENTIAL*",[1]SurveyDATA!$BT$1:$BT$1048576,"*STRUCTURE OWNER*",[1]SurveyDATA!$A$1:$A$1048576,"LEGAL",[1]SurveyDATA!$JR$1:$JR$1048576,"*NEED*")</f>
        <v>1</v>
      </c>
      <c r="E35" s="6" t="n">
        <f aca="false">COUNTIFS([1]SurveyDATA!$E$1:$E$1048576,"*BRGY.9*",[1]SurveyDATA!$BS$1:$BS$1048576,"*MIXED*",[1]SurveyDATA!$BT$1:$BT$1048576,"*STRUCTURE OWNER*",[1]SurveyDATA!$A$1:$A$1048576,"LEGAL",[1]SurveyDATA!$JR$1:$JR$1048576,"*STAY*")</f>
        <v>0</v>
      </c>
      <c r="F35" s="6" t="n">
        <f aca="false">COUNTIFS([1]SurveyDATA!$E$1:$E$1048576,"*BRGY.9*",[1]SurveyDATA!$BS$1:$BS$1048576,"*MIXED*",[1]SurveyDATA!$BT$1:$BT$1048576,"*STRUCTURE OWNER*",[1]SurveyDATA!$A$1:$A$1048576,"LEGAL",[1]SurveyDATA!$JR$1:$JR$1048576,"*NEED*")</f>
        <v>0</v>
      </c>
      <c r="G35" s="6" t="n">
        <f aca="false">COUNTIFS([1]SurveyDATA!$E$1:$E$1048576,"*BRGY.9*",[1]SurveyDATA!$BS$1:$BS$1048576,"*COMMERICIAL*",[1]SurveyDATA!$BT$1:$BT$1048576,"*STRUCTURE OWNER*",[1]SurveyDATA!$A$1:$A$1048576,"LEGAL",[1]SurveyDATA!$JR$1:$JR$1048576,"*STAY*")</f>
        <v>0</v>
      </c>
      <c r="H35" s="6" t="n">
        <f aca="false">COUNTIFS([1]SurveyDATA!$E$1:$E$1048576,"*BRGY.9*",[1]SurveyDATA!$BS$1:$BS$1048576,"*COMMERCIAL*",[1]SurveyDATA!$BT$1:$BT$1048576,"*STRUCTURE OWNER*",[1]SurveyDATA!$A$1:$A$1048576,"LEGAL",[1]SurveyDATA!$JR$1:$JR$1048576,"*NEED*")</f>
        <v>0</v>
      </c>
      <c r="I35" s="6" t="n">
        <f aca="false">COUNTIFS([1]SurveyDATA!$E$1:$E$1048576,"*BRGY.9*",[1]SurveyDATA!$BS$1:$BS$1048576,"*INSTITUTIONAL*",[1]SurveyDATA!$BT$1:$BT$1048576,"*STRUCTURE OWNER*",[1]SurveyDATA!$A$1:$A$1048576,"LEGAL",[1]SurveyDATA!$JR$1:$JR$1048576,"*STAY*")</f>
        <v>0</v>
      </c>
      <c r="J35" s="6" t="n">
        <f aca="false">COUNTIFS([1]SurveyDATA!$E$1:$E$1048576,"*BRGY.9*",[1]SurveyDATA!$BS$1:$BS$1048576,"*INSTITUTIONAL*",[1]SurveyDATA!$BT$1:$BT$1048576,"*STRUCTURE OWNER*",[1]SurveyDATA!$A$1:$A$1048576,"LEGAL",[1]SurveyDATA!$JR$1:$JR$1048576,"*NEED*")</f>
        <v>0</v>
      </c>
      <c r="K35" s="6" t="n">
        <f aca="false">COUNTIFS([1]SurveyDATA!$E$1:$E$1048576,"*BRGY.9*",[1]SurveyDATA!$BS$1:$BS$1048576,"RESIDENTIAL*",[1]SurveyDATA!$BT$1:$BT$1048576,"*STRUCTURE RENTER*",[1]SurveyDATA!$A$1:$A$1048576,"LEGAL",[1]SurveyDATA!$JR$1:$JR$1048576,"*STAY*")</f>
        <v>0</v>
      </c>
      <c r="L35" s="6" t="n">
        <f aca="false">COUNTIFS([1]SurveyDATA!$E$1:$E$1048576,"*BRGY.9*",[1]SurveyDATA!$BS$1:$BS$1048576,"RESIDENTIAL*",[1]SurveyDATA!$BT$1:$BT$1048576,"*STRUCTURE RENTER*",[1]SurveyDATA!$A$1:$A$1048576,"LEGAL",[1]SurveyDATA!$JR$1:$JR$1048576,"*NEED*")</f>
        <v>0</v>
      </c>
      <c r="M35" s="6" t="n">
        <f aca="false">COUNTIFS([1]SurveyDATA!$E$1:$E$1048576,"*BRGY.9*",[1]SurveyDATA!$BS$1:$BS$1048576,"RESIDENTIAL*",[1]SurveyDATA!$BT$1:$BT$1048576,"*STRUCTURE OWNER*",[1]SurveyDATA!$A$1:$A$1048576,"LEGAL",[1]SurveyDATA!$JR$1:$JR$1048576,"*STAY*",[1]SurveyDATA!AS$1:AS$1048576,"*ABSENTEE*")</f>
        <v>0</v>
      </c>
      <c r="N35" s="6" t="n">
        <f aca="false">COUNTIFS([1]SurveyDATA!$E$1:$E$1048576,"*BRGY.9*",[1]SurveyDATA!$BS$1:$BS$1048576,"RESIDENTIAL*",[1]SurveyDATA!$BT$1:$BT$1048576,"*STRUCTURE OWNER*",[1]SurveyDATA!$A$1:$A$1048576,"LEGAL",[1]SurveyDATA!$JR$1:$JR$1048576,"*NEED*",[1]SurveyDATA!AS$1:AS$1048576,v)</f>
        <v>0</v>
      </c>
      <c r="O35" s="7" t="e">
        <f aca="false">COUNTIFS([1]surveydata!#ref!,"*LEGAL*",[1]surveydata!#ref!,"*BRGY.9 CAL*",[1]SurveyDATA!Q$1:Q$1048576,"LAND OWNER",[1]SurveyDATA!T$1:T$1048576,"&lt;20%",[1]SurveyDATA!AS$1:AS$1048576,"")</f>
        <v>#NAME?</v>
      </c>
      <c r="P35" s="7" t="e">
        <f aca="false">COUNTIFS([1]surveydata!#ref!,"*LEGAL*",[1]surveydata!#ref!,"*BRGY.9 CAL*",[1]SurveyDATA!Q$1:Q$1048576,"LAND OWNER",[1]SurveyDATA!T$1:T$1048576,"&gt;20%",[1]SurveyDATA!AS$1:AS$1048576,"")</f>
        <v>#NAME?</v>
      </c>
      <c r="Q35" s="12"/>
      <c r="R35" s="12"/>
      <c r="S35" s="7" t="e">
        <f aca="false">SUM(Q35,O35,M35,K35,I35,G35,K35,E35,C35,)</f>
        <v>#NAME?</v>
      </c>
      <c r="T35" s="7" t="e">
        <f aca="false">SUM(R35,P35,N35,L35,J35,H35,L35,F35,D35,)</f>
        <v>#NAME?</v>
      </c>
    </row>
    <row r="36" customFormat="false" ht="15" hidden="false" customHeight="false" outlineLevel="0" collapsed="false">
      <c r="A36" s="5"/>
      <c r="B36" s="5" t="s">
        <v>49</v>
      </c>
      <c r="C36" s="6" t="n">
        <f aca="false">COUNTIFS([1]SurveyDATA!$E$1:$E$1048576,"*CATMON*",[1]SurveyDATA!$BS$1:$BS$1048576,"*RESIDENTIAL*",[1]SurveyDATA!$BT$1:$BT$1048576,"*STRUCTURE OWNER*",[1]SurveyDATA!$A$1:$A$1048576,"LEGAL",[1]SurveyDATA!$JR$1:$JR$1048576,"*STAY*")</f>
        <v>2</v>
      </c>
      <c r="D36" s="6" t="n">
        <f aca="false">COUNTIFS([1]SurveyDATA!$E$1:$E$1048576,"*CATMON*",[1]SurveyDATA!$BS$1:$BS$1048576,"*RESIDENTIAL*",[1]SurveyDATA!$BT$1:$BT$1048576,"*STRUCTURE OWNER*",[1]SurveyDATA!$A$1:$A$1048576,"LEGAL",[1]SurveyDATA!$JR$1:$JR$1048576,"*NEED*")</f>
        <v>1</v>
      </c>
      <c r="E36" s="6" t="n">
        <f aca="false">COUNTIFS([1]SurveyDATA!$E$1:$E$1048576,"*BRGY.15 CAL*",[1]SurveyDATA!$BS$1:$BS$1048576,"*MIXED*",[1]SurveyDATA!$BT$1:$BT$1048576,"*STRUCTURE OWNER*",[1]SurveyDATA!$A$1:$A$1048576,"LEGAL",[1]SurveyDATA!$JR$1:$JR$1048576,"*STAY*")</f>
        <v>0</v>
      </c>
      <c r="F36" s="6" t="n">
        <f aca="false">COUNTIFS([1]SurveyDATA!$E$1:$E$1048576,"*BRGY.15 CAL*",[1]SurveyDATA!$BS$1:$BS$1048576,"*MIXED*",[1]SurveyDATA!$BT$1:$BT$1048576,"*STRUCTURE OWNER*",[1]SurveyDATA!$A$1:$A$1048576,"LEGAL",[1]SurveyDATA!$JR$1:$JR$1048576,"*NEED*")</f>
        <v>0</v>
      </c>
      <c r="G36" s="6" t="n">
        <f aca="false">COUNTIFS([1]SurveyDATA!$E$1:$E$1048576,"*BRGY.15 CAL*",[1]SurveyDATA!$BS$1:$BS$1048576,"*COMMERICIAL*",[1]SurveyDATA!$BT$1:$BT$1048576,"*STRUCTURE OWNER*",[1]SurveyDATA!$A$1:$A$1048576,"LEGAL",[1]SurveyDATA!$JR$1:$JR$1048576,"*STAY*")</f>
        <v>0</v>
      </c>
      <c r="H36" s="6" t="n">
        <f aca="false">COUNTIFS([1]SurveyDATA!$E$1:$E$1048576,"*BRGY.15 CAL*",[1]SurveyDATA!$BS$1:$BS$1048576,"*COMMERCIAL*",[1]SurveyDATA!$BT$1:$BT$1048576,"*STRUCTURE OWNER*",[1]SurveyDATA!$A$1:$A$1048576,"LEGAL",[1]SurveyDATA!$JR$1:$JR$1048576,"*NEED*")</f>
        <v>0</v>
      </c>
      <c r="I36" s="6" t="n">
        <f aca="false">COUNTIFS([1]SurveyDATA!$E$1:$E$1048576,"*BRGY.15 CAL*",[1]SurveyDATA!$BS$1:$BS$1048576,"*INSTITUTIONAL*",[1]SurveyDATA!$BT$1:$BT$1048576,"*STRUCTURE OWNER*",[1]SurveyDATA!$A$1:$A$1048576,"LEGAL",[1]SurveyDATA!$JR$1:$JR$1048576,"*STAY*")</f>
        <v>0</v>
      </c>
      <c r="J36" s="6" t="n">
        <f aca="false">COUNTIFS([1]SurveyDATA!$E$1:$E$1048576,"*BRGY.15 CAL*",[1]SurveyDATA!$BS$1:$BS$1048576,"*INSTITUTIONAL*",[1]SurveyDATA!$BT$1:$BT$1048576,"*STRUCTURE OWNER*",[1]SurveyDATA!$A$1:$A$1048576,"LEGAL",[1]SurveyDATA!$JR$1:$JR$1048576,"*NEED*")</f>
        <v>0</v>
      </c>
      <c r="K36" s="6" t="n">
        <f aca="false">COUNTIFS([1]SurveyDATA!$E$1:$E$1048576,"*BRGY.15 CAL*",[1]SurveyDATA!$BS$1:$BS$1048576,"RESIDENTIAL*",[1]SurveyDATA!$BT$1:$BT$1048576,"*STRUCTURE RENTER*",[1]SurveyDATA!$A$1:$A$1048576,"LEGAL",[1]SurveyDATA!$JR$1:$JR$1048576,"*STAY*")</f>
        <v>0</v>
      </c>
      <c r="L36" s="6" t="n">
        <f aca="false">COUNTIFS([1]SurveyDATA!$E$1:$E$1048576,"*BRGY.15 CAL*",[1]SurveyDATA!$BS$1:$BS$1048576,"RESIDENTIAL*",[1]SurveyDATA!$BT$1:$BT$1048576,"*STRUCTURE RENTER*",[1]SurveyDATA!$A$1:$A$1048576,"LEGAL",[1]SurveyDATA!$JR$1:$JR$1048576,"*NEED*")</f>
        <v>0</v>
      </c>
      <c r="M36" s="6" t="n">
        <f aca="false">COUNTIFS([1]SurveyDATA!$E$1:$E$1048576,"*BRGY.15 CAL*",[1]SurveyDATA!$BS$1:$BS$1048576,"RESIDENTIAL*",[1]SurveyDATA!$BT$1:$BT$1048576,"*STRUCTURE OWNER*",[1]SurveyDATA!$A$1:$A$1048576,"LEGAL",[1]SurveyDATA!$JR$1:$JR$1048576,"*STAY*",[1]SurveyDATA!AS$1:AS$1048576,"*ABSENTEE*")</f>
        <v>0</v>
      </c>
      <c r="N36" s="6" t="n">
        <f aca="false">COUNTIFS([1]SurveyDATA!$E$1:$E$1048576,"*BRGY.15 CAL*",[1]SurveyDATA!$BS$1:$BS$1048576,"RESIDENTIAL*",[1]SurveyDATA!$BT$1:$BT$1048576,"*STRUCTURE OWNER*",[1]SurveyDATA!$A$1:$A$1048576,"LEGAL",[1]SurveyDATA!$JR$1:$JR$1048576,"*NEED*",[1]SurveyDATA!AS$1:AS$1048576,"*ABSENTEE*")</f>
        <v>0</v>
      </c>
      <c r="O36" s="7" t="e">
        <f aca="false">COUNTIFS([1]surveydata!#ref!,"*LEGAL*",[1]surveydata!#ref!,"*BRGY.15 CAL*",[1]SurveyDATA!Q$1:Q$1048576,"LAND OWNER",[1]SurveyDATA!T$1:T$1048576,"&lt;20%",[1]SurveyDATA!AS$1:AS$1048576,"")</f>
        <v>#NAME?</v>
      </c>
      <c r="P36" s="7" t="e">
        <f aca="false">COUNTIFS([1]surveydata!#ref!,"*LEGAL*",[1]surveydata!#ref!,"*BRGY.15 CAL*",[1]SurveyDATA!Q$1:Q$1048576,"LAND OWNER",[1]SurveyDATA!T$1:T$1048576,"&gt;20%",[1]SurveyDATA!AS$1:AS$1048576,"")</f>
        <v>#NAME?</v>
      </c>
      <c r="Q36" s="12"/>
      <c r="R36" s="12"/>
      <c r="S36" s="7" t="e">
        <f aca="false">SUM(Q36,O36,M36,K36,I36,G36,K36,E36,C36,)</f>
        <v>#NAME?</v>
      </c>
      <c r="T36" s="7" t="e">
        <f aca="false">SUM(R36,P36,N36,L36,J36,H36,L36,F36,D36,)</f>
        <v>#NAME?</v>
      </c>
    </row>
    <row r="37" customFormat="false" ht="15" hidden="false" customHeight="false" outlineLevel="0" collapsed="false">
      <c r="A37" s="5"/>
      <c r="B37" s="5" t="s">
        <v>50</v>
      </c>
      <c r="C37" s="6" t="n">
        <f aca="false">COUNTIFS([1]SurveyDATA!$E$1:$E$1048576,"*CATMON*",[1]SurveyDATA!$BS$1:$BS$1048576,"*RESIDENTIAL*",[1]SurveyDATA!$BT$1:$BT$1048576,"*STRUCTURE OWNER*",[1]SurveyDATA!$A$1:$A$1048576,"LEGAL",[1]SurveyDATA!$JR$1:$JR$1048576,"*STAY*")</f>
        <v>2</v>
      </c>
      <c r="D37" s="6" t="n">
        <f aca="false">COUNTIFS([1]SurveyDATA!$E$1:$E$1048576,"*CATMON*",[1]SurveyDATA!$BS$1:$BS$1048576,"*RESIDENTIAL*",[1]SurveyDATA!$BT$1:$BT$1048576,"*STRUCTURE OWNER*",[1]SurveyDATA!$A$1:$A$1048576,"LEGAL",[1]SurveyDATA!$JR$1:$JR$1048576,"*NEED*")</f>
        <v>1</v>
      </c>
      <c r="E37" s="6" t="n">
        <f aca="false">COUNTIFS([1]SurveyDATA!$E$1:$E$1048576,"*BRGY.17*",[1]SurveyDATA!$BS$1:$BS$1048576,"*MIXED*",[1]SurveyDATA!$BT$1:$BT$1048576,"*STRUCTURE OWNER*",[1]SurveyDATA!$A$1:$A$1048576,"LEGAL",[1]SurveyDATA!$JR$1:$JR$1048576,"*STAY*")</f>
        <v>0</v>
      </c>
      <c r="F37" s="6" t="n">
        <f aca="false">COUNTIFS([1]SurveyDATA!$E$1:$E$1048576,"*BRGY.17*",[1]SurveyDATA!$BS$1:$BS$1048576,"*MIXED*",[1]SurveyDATA!$BT$1:$BT$1048576,"*STRUCTURE OWNER*",[1]SurveyDATA!$A$1:$A$1048576,"LEGAL",[1]SurveyDATA!$JR$1:$JR$1048576,"*NEED*")</f>
        <v>0</v>
      </c>
      <c r="G37" s="6" t="n">
        <f aca="false">COUNTIFS([1]SurveyDATA!$E$1:$E$1048576,"*BRGY.17*",[1]SurveyDATA!$BS$1:$BS$1048576,"*COMMERICIAL*",[1]SurveyDATA!$BT$1:$BT$1048576,"*STRUCTURE OWNER*",[1]SurveyDATA!$A$1:$A$1048576,"LEGAL",[1]SurveyDATA!$JR$1:$JR$1048576,"*STAY*")</f>
        <v>0</v>
      </c>
      <c r="H37" s="6" t="n">
        <f aca="false">COUNTIFS([1]SurveyDATA!$E$1:$E$1048576,"*BRGY.17*",[1]SurveyDATA!$BS$1:$BS$1048576,"*COMMERCIAL*",[1]SurveyDATA!$BT$1:$BT$1048576,"*STRUCTURE OWNER*",[1]SurveyDATA!$A$1:$A$1048576,"LEGAL",[1]SurveyDATA!$JR$1:$JR$1048576,"*NEED*")</f>
        <v>0</v>
      </c>
      <c r="I37" s="6" t="n">
        <f aca="false">COUNTIFS([1]SurveyDATA!$E$1:$E$1048576,"*BRGY.17*",[1]SurveyDATA!$BS$1:$BS$1048576,"*INSTITUTIONAL*",[1]SurveyDATA!$BT$1:$BT$1048576,"*STRUCTURE OWNER*",[1]SurveyDATA!$A$1:$A$1048576,"LEGAL",[1]SurveyDATA!$JR$1:$JR$1048576,"*STAY*")</f>
        <v>0</v>
      </c>
      <c r="J37" s="6" t="n">
        <f aca="false">COUNTIFS([1]SurveyDATA!$E$1:$E$1048576,"*BRGY.17*",[1]SurveyDATA!$BS$1:$BS$1048576,"*INSTITUTIONAL*",[1]SurveyDATA!$BT$1:$BT$1048576,"*STRUCTURE OWNER*",[1]SurveyDATA!$A$1:$A$1048576,"LEGAL",[1]SurveyDATA!$JR$1:$JR$1048576,"*NEED*")</f>
        <v>0</v>
      </c>
      <c r="K37" s="6" t="n">
        <f aca="false">COUNTIFS([1]SurveyDATA!$E$1:$E$1048576,"*BRGY.17*",[1]SurveyDATA!$BS$1:$BS$1048576,"RESIDENTIAL*",[1]SurveyDATA!$BT$1:$BT$1048576,"*STRUCTURE RENTER*",[1]SurveyDATA!$A$1:$A$1048576,"LEGAL",[1]SurveyDATA!$JR$1:$JR$1048576,"*STAY*")</f>
        <v>0</v>
      </c>
      <c r="L37" s="6" t="n">
        <f aca="false">COUNTIFS([1]SurveyDATA!$E$1:$E$1048576,"*BRGY.17*",[1]SurveyDATA!$BS$1:$BS$1048576,"RESIDENTIAL*",[1]SurveyDATA!$BT$1:$BT$1048576,"*STRUCTURE RENTER*",[1]SurveyDATA!$A$1:$A$1048576,"LEGAL",[1]SurveyDATA!$JR$1:$JR$1048576,"*NEED*")</f>
        <v>0</v>
      </c>
      <c r="M37" s="6" t="n">
        <f aca="false">COUNTIFS([1]SurveyDATA!$E$1:$E$1048576,"*BRGY.17*",[1]SurveyDATA!$BS$1:$BS$1048576,"RESIDENTIAL*",[1]SurveyDATA!$BT$1:$BT$1048576,"*STRUCTURE OWNER*",[1]SurveyDATA!$A$1:$A$1048576,"LEGAL",[1]SurveyDATA!$JR$1:$JR$1048576,"*STAY*",[1]SurveyDATA!AS$1:AS$1048576,"*ABSENTEE*")</f>
        <v>0</v>
      </c>
      <c r="N37" s="6" t="n">
        <f aca="false">COUNTIFS([1]SurveyDATA!$E$1:$E$1048576,"*BRGY.17*",[1]SurveyDATA!$BS$1:$BS$1048576,"RESIDENTIAL*",[1]SurveyDATA!$BT$1:$BT$1048576,"*STRUCTURE OWNER*",[1]SurveyDATA!$A$1:$A$1048576,"LEGAL",[1]SurveyDATA!$JR$1:$JR$1048576,"*NEED*",[1]SurveyDATA!AS$1:AS$1048576,"*ABSENTEE*")</f>
        <v>0</v>
      </c>
      <c r="O37" s="7" t="e">
        <f aca="false">COUNTIFS([1]surveydata!#ref!,"*LEGAL*",[1]surveydata!#ref!,"*BRGY.17*",[1]SurveyDATA!Q$1:Q$1048576,"LAND OWNER",[1]SurveyDATA!T$1:T$1048576,"&lt;20%",[1]SurveyDATA!AS$1:AS$1048576,"")</f>
        <v>#NAME?</v>
      </c>
      <c r="P37" s="7" t="e">
        <f aca="false">COUNTIFS([1]surveydata!#ref!,"*LEGAL*",[1]surveydata!#ref!,"*BRGY.17*",[1]SurveyDATA!Q$1:Q$1048576,"LAND OWNER",[1]SurveyDATA!T$1:T$1048576,"&gt;20%",[1]SurveyDATA!AS$1:AS$1048576,"")</f>
        <v>#NAME?</v>
      </c>
      <c r="Q37" s="12"/>
      <c r="R37" s="12"/>
      <c r="S37" s="7" t="e">
        <f aca="false">SUM(Q37,O37,M37,K37,I37,G37,K37,E37,C37,)</f>
        <v>#NAME?</v>
      </c>
      <c r="T37" s="7" t="e">
        <f aca="false">SUM(R37,P37,N37,L37,J37,H37,L37,F37,D37,)</f>
        <v>#NAME?</v>
      </c>
    </row>
    <row r="38" customFormat="false" ht="15" hidden="false" customHeight="false" outlineLevel="0" collapsed="false">
      <c r="A38" s="5"/>
      <c r="B38" s="5" t="s">
        <v>51</v>
      </c>
      <c r="C38" s="6" t="n">
        <f aca="false">COUNTIFS([1]SurveyDATA!$E$1:$E$1048576,"*CATMON*",[1]SurveyDATA!$BS$1:$BS$1048576,"*RESIDENTIAL*",[1]SurveyDATA!$BT$1:$BT$1048576,"*STRUCTURE OWNER*",[1]SurveyDATA!$A$1:$A$1048576,"LEGAL",[1]SurveyDATA!$JR$1:$JR$1048576,"*STAY*")</f>
        <v>2</v>
      </c>
      <c r="D38" s="6" t="n">
        <f aca="false">COUNTIFS([1]SurveyDATA!$E$1:$E$1048576,"*CATMON*",[1]SurveyDATA!$BS$1:$BS$1048576,"*RESIDENTIAL*",[1]SurveyDATA!$BT$1:$BT$1048576,"*STRUCTURE OWNER*",[1]SurveyDATA!$A$1:$A$1048576,"LEGAL",[1]SurveyDATA!$JR$1:$JR$1048576,"*NEED*")</f>
        <v>1</v>
      </c>
      <c r="E38" s="6" t="n">
        <f aca="false">COUNTIFS([1]SurveyDATA!$E$1:$E$1048576,"*BRGY.19 CAL*",[1]SurveyDATA!$BS$1:$BS$1048576,"*MIXED*",[1]SurveyDATA!$BT$1:$BT$1048576,"*STRUCTURE OWNER*",[1]SurveyDATA!$A$1:$A$1048576,"LEGAL",[1]SurveyDATA!$JR$1:$JR$1048576,"*STAY*")</f>
        <v>0</v>
      </c>
      <c r="F38" s="6" t="n">
        <f aca="false">COUNTIFS([1]SurveyDATA!$E$1:$E$1048576,"*BRGY.19 CAL*",[1]SurveyDATA!$BS$1:$BS$1048576,"*MIXED*",[1]SurveyDATA!$BT$1:$BT$1048576,"*STRUCTURE OWNER*",[1]SurveyDATA!$A$1:$A$1048576,"LEGAL",[1]SurveyDATA!$JR$1:$JR$1048576,"*NEED*")</f>
        <v>0</v>
      </c>
      <c r="G38" s="6" t="n">
        <f aca="false">COUNTIFS([1]SurveyDATA!$E$1:$E$1048576,"*BRGY.19 CAL*",[1]SurveyDATA!$BS$1:$BS$1048576,"*COMMERICIAL*",[1]SurveyDATA!$BT$1:$BT$1048576,"*STRUCTURE OWNER*",[1]SurveyDATA!$A$1:$A$1048576,"LEGAL",[1]SurveyDATA!$JR$1:$JR$1048576,"*STAY*")</f>
        <v>0</v>
      </c>
      <c r="H38" s="6" t="n">
        <f aca="false">COUNTIFS([1]SurveyDATA!$E$1:$E$1048576,"*BRGY.19 CAL*",[1]SurveyDATA!$BS$1:$BS$1048576,"*COMMERCIAL*",[1]SurveyDATA!$BT$1:$BT$1048576,"*STRUCTURE OWNER*",[1]SurveyDATA!$A$1:$A$1048576,"LEGAL",[1]SurveyDATA!$JR$1:$JR$1048576,"*NEED*")</f>
        <v>0</v>
      </c>
      <c r="I38" s="6" t="n">
        <f aca="false">COUNTIFS([1]SurveyDATA!$E$1:$E$1048576,"*BRGY.19 CAL*",[1]SurveyDATA!$BS$1:$BS$1048576,"*INSTITUTIONAL*",[1]SurveyDATA!$BT$1:$BT$1048576,"*STRUCTURE OWNER*",[1]SurveyDATA!$A$1:$A$1048576,"LEGAL",[1]SurveyDATA!$JR$1:$JR$1048576,"*STAY*")</f>
        <v>0</v>
      </c>
      <c r="J38" s="6" t="n">
        <f aca="false">COUNTIFS([1]SurveyDATA!$E$1:$E$1048576,"*BRGY.19 CAL*",[1]SurveyDATA!$BS$1:$BS$1048576,"*INSTITUTIONAL*",[1]SurveyDATA!$BT$1:$BT$1048576,"*STRUCTURE OWNER*",[1]SurveyDATA!$A$1:$A$1048576,"LEGAL",[1]SurveyDATA!$JR$1:$JR$1048576,"*NEED*")</f>
        <v>0</v>
      </c>
      <c r="K38" s="6" t="n">
        <f aca="false">COUNTIFS([1]SurveyDATA!$E$1:$E$1048576,"*BRGY.19 CAL*",[1]SurveyDATA!$BS$1:$BS$1048576,"RESIDENTIAL*",[1]SurveyDATA!$BT$1:$BT$1048576,"*STRUCTURE RENTER*",[1]SurveyDATA!$A$1:$A$1048576,"LEGAL",[1]SurveyDATA!$JR$1:$JR$1048576,"*STAY*")</f>
        <v>0</v>
      </c>
      <c r="L38" s="6" t="n">
        <f aca="false">COUNTIFS([1]SurveyDATA!$E$1:$E$1048576,"*BRGY.19 CAL*",[1]SurveyDATA!$BS$1:$BS$1048576,"RESIDENTIAL*",[1]SurveyDATA!$BT$1:$BT$1048576,"*STRUCTURE RENTER*",[1]SurveyDATA!$A$1:$A$1048576,"LEGAL",[1]SurveyDATA!$JR$1:$JR$1048576,"*NEED*")</f>
        <v>0</v>
      </c>
      <c r="M38" s="6" t="n">
        <f aca="false">COUNTIFS([1]SurveyDATA!$E$1:$E$1048576,"*BRGY.19 CAL*",[1]SurveyDATA!$BS$1:$BS$1048576,"RESIDENTIAL*",[1]SurveyDATA!$BT$1:$BT$1048576,"*STRUCTURE OWNER'*",[1]SurveyDATA!$A$1:$A$1048576,"LEGAL",[1]SurveyDATA!$JR$1:$JR$1048576,"*STAY*",[1]SurveyDATA!AS$1:AS$1048576,"*ABSENTEE*")</f>
        <v>0</v>
      </c>
      <c r="N38" s="6" t="n">
        <f aca="false">COUNTIFS([1]SurveyDATA!$E$1:$E$1048576,"*BRGY.19 CAL*",[1]SurveyDATA!$BS$1:$BS$1048576,"RESIDENTIAL*",[1]SurveyDATA!$BT$1:$BT$1048576,"*STRUCTURE OWNER*",[1]SurveyDATA!$A$1:$A$1048576,"LEGAL",[1]SurveyDATA!$JR$1:$JR$1048576,"*NEED*",[1]SurveyDATA!AS$1:AS$1048576,"*ABSENTEE*")</f>
        <v>0</v>
      </c>
      <c r="O38" s="7" t="e">
        <f aca="false">COUNTIFS([1]surveydata!#ref!,"*LEGAL*",[1]surveydata!#ref!,"*BRGY.19 CAL*",[1]SurveyDATA!Q$1:Q$1048576,"LAND OWNER",[1]SurveyDATA!T$1:T$1048576,"&lt;20%",[1]SurveyDATA!AS$1:AS$1048576,"")</f>
        <v>#NAME?</v>
      </c>
      <c r="P38" s="7" t="e">
        <f aca="false">COUNTIFS([1]surveydata!#ref!,"*LEGAL*",[1]surveydata!#ref!,"*BRGY.19 CAL*",[1]SurveyDATA!Q$1:Q$1048576,"LAND OWNER",[1]SurveyDATA!T$1:T$1048576,"&gt;20%",[1]SurveyDATA!AS$1:AS$1048576,"")</f>
        <v>#NAME?</v>
      </c>
      <c r="Q38" s="12"/>
      <c r="R38" s="12"/>
      <c r="S38" s="7" t="e">
        <f aca="false">SUM(Q38,O38,M38,K38,I38,G38,K38,E38,C38,)</f>
        <v>#NAME?</v>
      </c>
      <c r="T38" s="7" t="e">
        <f aca="false">SUM(R38,P38,N38,L38,J38,H38,L38,F38,D38,)</f>
        <v>#NAME?</v>
      </c>
    </row>
    <row r="39" customFormat="false" ht="15" hidden="false" customHeight="false" outlineLevel="0" collapsed="false">
      <c r="A39" s="5"/>
      <c r="B39" s="5" t="s">
        <v>52</v>
      </c>
      <c r="C39" s="6" t="n">
        <f aca="false">COUNTIFS([1]SurveyDATA!$E$1:$E$1048576,"*CATMON*",[1]SurveyDATA!$BS$1:$BS$1048576,"*RESIDENTIAL*",[1]SurveyDATA!$BT$1:$BT$1048576,"*STRUCTURE OWNER*",[1]SurveyDATA!$A$1:$A$1048576,"LEGAL",[1]SurveyDATA!$JR$1:$JR$1048576,"*STAY*")</f>
        <v>2</v>
      </c>
      <c r="D39" s="6" t="n">
        <f aca="false">COUNTIFS([1]SurveyDATA!$E$1:$E$1048576,"*CATMON*",[1]SurveyDATA!$BS$1:$BS$1048576,"*RESIDENTIAL*",[1]SurveyDATA!$BT$1:$BT$1048576,"*STRUCTURE OWNER*",[1]SurveyDATA!$A$1:$A$1048576,"LEGAL",[1]SurveyDATA!$JR$1:$JR$1048576,"*NEED*")</f>
        <v>1</v>
      </c>
      <c r="E39" s="6" t="n">
        <f aca="false">COUNTIFS([1]SurveyDATA!$E$1:$E$1048576,"*BRGY.21*",[1]SurveyDATA!$BS$1:$BS$1048576,"*MIXED*",[1]SurveyDATA!$BT$1:$BT$1048576,"*STRUCTURE OWNER*",[1]SurveyDATA!$A$1:$A$1048576,"LEGAL",[1]SurveyDATA!$JR$1:$JR$1048576,"*STAY*")</f>
        <v>0</v>
      </c>
      <c r="F39" s="6" t="n">
        <f aca="false">COUNTIFS([1]SurveyDATA!$E$1:$E$1048576,"*BRGY.21*",[1]SurveyDATA!$BS$1:$BS$1048576,"*MIXED*",[1]SurveyDATA!$BT$1:$BT$1048576,"*STRUCTURE OWNER*",[1]SurveyDATA!$A$1:$A$1048576,"LEGAL",[1]SurveyDATA!$JR$1:$JR$1048576,"*NEED*")</f>
        <v>0</v>
      </c>
      <c r="G39" s="6" t="n">
        <f aca="false">COUNTIFS([1]SurveyDATA!$E$1:$E$1048576,"*BRGY.21*",[1]SurveyDATA!$BS$1:$BS$1048576,"*COMMERICIAL*",[1]SurveyDATA!$BT$1:$BT$1048576,"*STRUCTURE OWNER*",[1]SurveyDATA!$A$1:$A$1048576,"LEGAL",[1]SurveyDATA!$JR$1:$JR$1048576,"*STAY*")</f>
        <v>0</v>
      </c>
      <c r="H39" s="6" t="n">
        <f aca="false">COUNTIFS([1]SurveyDATA!$E$1:$E$1048576,"*BRGY.21*",[1]SurveyDATA!$BS$1:$BS$1048576,"*COMMERCIAL*",[1]SurveyDATA!$BT$1:$BT$1048576,"*STRUCTURE OWNER*",[1]SurveyDATA!$A$1:$A$1048576,"LEGAL",[1]SurveyDATA!$JR$1:$JR$1048576,"*NEED*")</f>
        <v>0</v>
      </c>
      <c r="I39" s="6" t="n">
        <f aca="false">COUNTIFS([1]SurveyDATA!$E$1:$E$1048576,"*BRGY.21*",[1]SurveyDATA!$BS$1:$BS$1048576,"*INSTITUTIONAL*",[1]SurveyDATA!$BT$1:$BT$1048576,"*STRUCTURE OWNER*",[1]SurveyDATA!$A$1:$A$1048576,"LEGAL",[1]SurveyDATA!$JR$1:$JR$1048576,"*STAY*")</f>
        <v>0</v>
      </c>
      <c r="J39" s="6" t="n">
        <f aca="false">COUNTIFS([1]SurveyDATA!$E$1:$E$1048576,"*BRGY.21*",[1]SurveyDATA!$BS$1:$BS$1048576,"*INSTITUTIONAL*",[1]SurveyDATA!$BT$1:$BT$1048576,"*STRUCTURE OWNER*",[1]SurveyDATA!$A$1:$A$1048576,"LEGAL",[1]SurveyDATA!$JR$1:$JR$1048576,"*NEED*")</f>
        <v>0</v>
      </c>
      <c r="K39" s="6" t="n">
        <f aca="false">COUNTIFS([1]SurveyDATA!$E$1:$E$1048576,"*BRGY.21*",[1]SurveyDATA!$BS$1:$BS$1048576,"RESIDENTIAL*",[1]SurveyDATA!$BT$1:$BT$1048576,"*STRUCTURE RENTER*",[1]SurveyDATA!$A$1:$A$1048576,"LEGAL",[1]SurveyDATA!$JR$1:$JR$1048576,"*STAY*")</f>
        <v>0</v>
      </c>
      <c r="L39" s="6" t="n">
        <f aca="false">COUNTIFS([1]SurveyDATA!$E$1:$E$1048576,"*BRGY.21*",[1]SurveyDATA!$BS$1:$BS$1048576,"RESIDENTIAL*",[1]SurveyDATA!$BT$1:$BT$1048576,"*STRUCTURE RENTER*",[1]SurveyDATA!$A$1:$A$1048576,"LEGAL",[1]SurveyDATA!$JR$1:$JR$1048576,"*NEED*")</f>
        <v>0</v>
      </c>
      <c r="M39" s="6" t="n">
        <f aca="false">COUNTIFS([1]SurveyDATA!$E$1:$E$1048576,"*BRGY.21*",[1]SurveyDATA!$BS$1:$BS$1048576,"RESIDENTIAL*",[1]SurveyDATA!$BT$1:$BT$1048576,"*STRUCTURE OWNER*",[1]SurveyDATA!$A$1:$A$1048576,"LEGAL",[1]SurveyDATA!$JR$1:$JR$1048576,"*STAY*",[1]SurveyDATA!AS$1:AS$1048576,"*ABSENTEE*")</f>
        <v>0</v>
      </c>
      <c r="N39" s="6" t="n">
        <f aca="false">COUNTIFS([1]SurveyDATA!$E$1:$E$1048576,"*BRGY.21*",[1]SurveyDATA!$BS$1:$BS$1048576,"RESIDENTIAL*",[1]SurveyDATA!$BT$1:$BT$1048576,"*STRUCTURE OWNER*",[1]SurveyDATA!$A$1:$A$1048576,"LEGAL",[1]SurveyDATA!$JR$1:$JR$1048576,"*NEED*",[1]SurveyDATA!AS$1:AS$1048576,"*ABSENTEE*")</f>
        <v>0</v>
      </c>
      <c r="O39" s="7" t="e">
        <f aca="false">COUNTIFS([1]surveydata!#ref!,"*LEGAL*",[1]surveydata!#ref!,"*BRGY.21*",[1]SurveyDATA!Q$1:Q$1048576,"LAND OWNER",[1]SurveyDATA!T$1:T$1048576,"&lt;20%",[1]SurveyDATA!AS$1:AS$1048576,"")</f>
        <v>#NAME?</v>
      </c>
      <c r="P39" s="7" t="e">
        <f aca="false">COUNTIFS([1]surveydata!#ref!,"*LEGAL*",[1]surveydata!#ref!,"*BRGY.21*",[1]SurveyDATA!Q$1:Q$1048576,"LAND OWNER",[1]SurveyDATA!T$1:T$1048576,"&gt;20%",[1]SurveyDATA!AS$1:AS$1048576,"")</f>
        <v>#NAME?</v>
      </c>
      <c r="Q39" s="12"/>
      <c r="R39" s="12"/>
      <c r="S39" s="7" t="e">
        <f aca="false">SUM(Q39,O39,M39,K39,I39,G39,K39,E39,C39,)</f>
        <v>#NAME?</v>
      </c>
      <c r="T39" s="7" t="e">
        <f aca="false">SUM(R39,P39,N39,L39,J39,H39,L39,F39,D39,)</f>
        <v>#NAME?</v>
      </c>
    </row>
    <row r="40" customFormat="false" ht="15" hidden="false" customHeight="false" outlineLevel="0" collapsed="false">
      <c r="A40" s="5"/>
      <c r="B40" s="5" t="s">
        <v>53</v>
      </c>
      <c r="C40" s="6" t="n">
        <f aca="false">COUNTIFS([1]SurveyDATA!$E$1:$E$1048576,"*CATMON*",[1]SurveyDATA!$BS$1:$BS$1048576,"*RESIDENTIAL*",[1]SurveyDATA!$BT$1:$BT$1048576,"*STRUCTURE OWNER*",[1]SurveyDATA!$A$1:$A$1048576,"LEGAL",[1]SurveyDATA!$JR$1:$JR$1048576,"*STAY*")</f>
        <v>2</v>
      </c>
      <c r="D40" s="6" t="n">
        <f aca="false">COUNTIFS([1]SurveyDATA!$E$1:$E$1048576,"*CATMON*",[1]SurveyDATA!$BS$1:$BS$1048576,"*RESIDENTIAL*",[1]SurveyDATA!$BT$1:$BT$1048576,"*STRUCTURE OWNER*",[1]SurveyDATA!$A$1:$A$1048576,"LEGAL",[1]SurveyDATA!$JR$1:$JR$1048576,"*NEED*")</f>
        <v>1</v>
      </c>
      <c r="E40" s="6" t="n">
        <f aca="false">COUNTIFS([1]SurveyDATA!$E$1:$E$1048576,"*BRGY.25*",[1]SurveyDATA!$BS$1:$BS$1048576,"*MIXED*",[1]SurveyDATA!$BT$1:$BT$1048576,"*STRUCTURE OWNER*",[1]SurveyDATA!$A$1:$A$1048576,"LEGAL",[1]SurveyDATA!$JR$1:$JR$1048576,"*STAY*")</f>
        <v>0</v>
      </c>
      <c r="F40" s="6" t="n">
        <f aca="false">COUNTIFS([1]SurveyDATA!$E$1:$E$1048576,"*BRGY.25*",[1]SurveyDATA!$BS$1:$BS$1048576,"*MIXED*",[1]SurveyDATA!$BT$1:$BT$1048576,"*STRUCTURE OWNER*",[1]SurveyDATA!$A$1:$A$1048576,"LEGAL",[1]SurveyDATA!$JR$1:$JR$1048576,"*NEED*")</f>
        <v>0</v>
      </c>
      <c r="G40" s="6" t="n">
        <f aca="false">COUNTIFS([1]SurveyDATA!$E$1:$E$1048576,"*BRGY.25*",[1]SurveyDATA!$BS$1:$BS$1048576,"*COMMERICIAL*",[1]SurveyDATA!$BT$1:$BT$1048576,"*STRUCTURE OWNER*",[1]SurveyDATA!$A$1:$A$1048576,"LEGAL",[1]SurveyDATA!$JR$1:$JR$1048576,"*STAY*")</f>
        <v>0</v>
      </c>
      <c r="H40" s="6" t="n">
        <f aca="false">COUNTIFS([1]SurveyDATA!$E$1:$E$1048576,"*BRGY.25*",[1]SurveyDATA!$BS$1:$BS$1048576,"*COMMERCIAL*",[1]SurveyDATA!$BT$1:$BT$1048576,"*STRUCTURE OWNER*",[1]SurveyDATA!$A$1:$A$1048576,"LEGAL",[1]SurveyDATA!$JR$1:$JR$1048576,"*NEED*")</f>
        <v>0</v>
      </c>
      <c r="I40" s="6" t="n">
        <f aca="false">COUNTIFS([1]SurveyDATA!$E$1:$E$1048576,"*BRGY.25*",[1]SurveyDATA!$BS$1:$BS$1048576,"*INSTITUTIONAL*",[1]SurveyDATA!$BT$1:$BT$1048576,"*STRUCTURE OWNER*",[1]SurveyDATA!$A$1:$A$1048576,"LEGAL",[1]SurveyDATA!$JR$1:$JR$1048576,"*STAY*")</f>
        <v>0</v>
      </c>
      <c r="J40" s="6" t="n">
        <f aca="false">COUNTIFS([1]SurveyDATA!$E$1:$E$1048576,"*BRGY.25*",[1]SurveyDATA!$BS$1:$BS$1048576,"*INSTITUTIONAL*",[1]SurveyDATA!$BT$1:$BT$1048576,"*STRUCTURE OWNER*",[1]SurveyDATA!$A$1:$A$1048576,"LEGAL",[1]SurveyDATA!$JR$1:$JR$1048576,"*NEED*")</f>
        <v>0</v>
      </c>
      <c r="K40" s="6" t="n">
        <f aca="false">COUNTIFS([1]SurveyDATA!$E$1:$E$1048576,"*BRGY.25*",[1]SurveyDATA!$BS$1:$BS$1048576,"RESIDENTIAL*",[1]SurveyDATA!$BT$1:$BT$1048576,"*STRUCTURE RENTER*",[1]SurveyDATA!$A$1:$A$1048576,"LEGAL",[1]SurveyDATA!$JR$1:$JR$1048576,"*STAY*")</f>
        <v>0</v>
      </c>
      <c r="L40" s="6" t="n">
        <f aca="false">COUNTIFS([1]SurveyDATA!$E$1:$E$1048576,"*BRGY.25*",[1]SurveyDATA!$BS$1:$BS$1048576,"RESIDENTIAL*",[1]SurveyDATA!$BT$1:$BT$1048576,"*STRUCTURE RENTER*",[1]SurveyDATA!$A$1:$A$1048576,"LEGAL",[1]SurveyDATA!$JR$1:$JR$1048576,"*NEED*")</f>
        <v>0</v>
      </c>
      <c r="M40" s="6" t="n">
        <f aca="false">COUNTIFS([1]SurveyDATA!$E$1:$E$1048576,"*BRGY.23*",[1]SurveyDATA!$BS$1:$BS$1048576,"RESIDENTIAL*",[1]SurveyDATA!$BT$1:$BT$1048576,"*STRUCTURE OWNER*",[1]SurveyDATA!$A$1:$A$1048576,"LEGAL",[1]SurveyDATA!$JR$1:$JR$1048576,"*STAY*",[1]SurveyDATA!AS$1:AS$1048576,"*ABSENTEE*")</f>
        <v>0</v>
      </c>
      <c r="N40" s="6" t="n">
        <f aca="false">COUNTIFS([1]SurveyDATA!$E$1:$E$1048576,"*BRGY.23*",[1]SurveyDATA!$BS$1:$BS$1048576,"RESIDENTIAL*",[1]SurveyDATA!$BT$1:$BT$1048576,"*STRUCTURE OWNER*",[1]SurveyDATA!$A$1:$A$1048576,"LEGAL",[1]SurveyDATA!$JR$1:$JR$1048576,"*NEED*",[1]SurveyDATA!AS$1:AS$1048576,"*ABSENTEE*")</f>
        <v>0</v>
      </c>
      <c r="O40" s="7" t="e">
        <f aca="false">COUNTIFS([1]surveydata!#ref!,"*LEGAL*",[1]surveydata!#ref!,"*BRGY.25*",[1]SurveyDATA!Q$1:Q$1048576,"LAND OWNER",[1]SurveyDATA!T$1:T$1048576,"&lt;20%",[1]SurveyDATA!AS$1:AS$1048576,"")</f>
        <v>#NAME?</v>
      </c>
      <c r="P40" s="7" t="e">
        <f aca="false">COUNTIFS([1]surveydata!#ref!,"*LEGAL*",[1]surveydata!#ref!,"*BRGY.21*",[1]SurveyDATA!Q$1:Q$1048576,"LAND OWNER",[1]SurveyDATA!T$1:T$1048576,"&gt;20%",[1]SurveyDATA!AS$1:AS$1048576,"")</f>
        <v>#NAME?</v>
      </c>
      <c r="Q40" s="12"/>
      <c r="R40" s="12"/>
      <c r="S40" s="7" t="e">
        <f aca="false">SUM(Q40,O40,M40,K40,I40,G40,K40,E40,C40,)</f>
        <v>#NAME?</v>
      </c>
      <c r="T40" s="7" t="e">
        <f aca="false">SUM(R40,P40,N40,L40,J40,H40,L40,F40,D40,)</f>
        <v>#NAME?</v>
      </c>
    </row>
    <row r="41" customFormat="false" ht="15" hidden="false" customHeight="false" outlineLevel="0" collapsed="false">
      <c r="A41" s="5"/>
      <c r="B41" s="5" t="s">
        <v>54</v>
      </c>
      <c r="C41" s="6" t="n">
        <f aca="false">COUNTIFS([1]SurveyDATA!$E$1:$E$1048576,"*CATMON*",[1]SurveyDATA!$BS$1:$BS$1048576,"*RESIDENTIAL*",[1]SurveyDATA!$BT$1:$BT$1048576,"*STRUCTURE OWNER*",[1]SurveyDATA!$A$1:$A$1048576,"LEGAL",[1]SurveyDATA!$JR$1:$JR$1048576,"*STAY*")</f>
        <v>2</v>
      </c>
      <c r="D41" s="6" t="n">
        <f aca="false">COUNTIFS([1]SurveyDATA!$E$1:$E$1048576,"*CATMON*",[1]SurveyDATA!$BS$1:$BS$1048576,"*RESIDENTIAL*",[1]SurveyDATA!$BT$1:$BT$1048576,"*STRUCTURE OWNER*",[1]SurveyDATA!$A$1:$A$1048576,"LEGAL",[1]SurveyDATA!$JR$1:$JR$1048576,"*NEED*")</f>
        <v>1</v>
      </c>
      <c r="E41" s="6" t="n">
        <f aca="false">COUNTIFS([1]SurveyDATA!$E$1:$E$1048576,"*BRGY.29*",[1]SurveyDATA!$BS$1:$BS$1048576,"*MIXED*",[1]SurveyDATA!$BT$1:$BT$1048576,"*STRUCTURE OWNER*",[1]SurveyDATA!$A$1:$A$1048576,"LEGAL",[1]SurveyDATA!$JR$1:$JR$1048576,"*STAY*")</f>
        <v>0</v>
      </c>
      <c r="F41" s="6" t="n">
        <f aca="false">COUNTIFS([1]SurveyDATA!$E$1:$E$1048576,"*BRGY.29*",[1]SurveyDATA!$BS$1:$BS$1048576,"*MIXED*",[1]SurveyDATA!$BT$1:$BT$1048576,"*STRUCTURE OWNER*",[1]SurveyDATA!$A$1:$A$1048576,"LEGAL",[1]SurveyDATA!$JR$1:$JR$1048576,"*NEED*")</f>
        <v>0</v>
      </c>
      <c r="G41" s="6" t="n">
        <f aca="false">COUNTIFS([1]SurveyDATA!$E$1:$E$1048576,"*BRGY.29*",[1]SurveyDATA!$BS$1:$BS$1048576,"*COMMERICIAL*",[1]SurveyDATA!$BT$1:$BT$1048576,"*STRUCTURE OWNER*",[1]SurveyDATA!$A$1:$A$1048576,"LEGAL",[1]SurveyDATA!$JR$1:$JR$1048576,"*STAY*")</f>
        <v>0</v>
      </c>
      <c r="H41" s="6" t="n">
        <f aca="false">COUNTIFS([1]SurveyDATA!$E$1:$E$1048576,"*BRGY.29*",[1]SurveyDATA!$BS$1:$BS$1048576,"*COMMERCIAL*",[1]SurveyDATA!$BT$1:$BT$1048576,"*STRUCTURE OWNER*",[1]SurveyDATA!$A$1:$A$1048576,"LEGAL",[1]SurveyDATA!$JR$1:$JR$1048576,"*NEED*")</f>
        <v>0</v>
      </c>
      <c r="I41" s="6" t="n">
        <f aca="false">COUNTIFS([1]SurveyDATA!$E$1:$E$1048576,"*BRGY.29*",[1]SurveyDATA!$BS$1:$BS$1048576,"*INSTITUTIONAL*",[1]SurveyDATA!$BT$1:$BT$1048576,"*STRUCTURE OWNER*",[1]SurveyDATA!$A$1:$A$1048576,"LEGAL",[1]SurveyDATA!$JR$1:$JR$1048576,"*STAY*")</f>
        <v>0</v>
      </c>
      <c r="J41" s="6" t="n">
        <f aca="false">COUNTIFS([1]SurveyDATA!$E$1:$E$1048576,"*BRGY.29*",[1]SurveyDATA!$BS$1:$BS$1048576,"*INSTITUTIONAL*",[1]SurveyDATA!$BT$1:$BT$1048576,"*STRUCTURE OWNER*",[1]SurveyDATA!$A$1:$A$1048576,"LEGAL",[1]SurveyDATA!$JR$1:$JR$1048576,"*NEED*")</f>
        <v>0</v>
      </c>
      <c r="K41" s="6" t="n">
        <f aca="false">COUNTIFS([1]SurveyDATA!$E$1:$E$1048576,"*BRGY.29*",[1]SurveyDATA!$BS$1:$BS$1048576,"RESIDENTIAL*",[1]SurveyDATA!$BT$1:$BT$1048576,"*STRUCTURE RENTER*",[1]SurveyDATA!$A$1:$A$1048576,"LEGAL",[1]SurveyDATA!$JR$1:$JR$1048576,"*STAY*")</f>
        <v>0</v>
      </c>
      <c r="L41" s="6" t="n">
        <f aca="false">COUNTIFS([1]SurveyDATA!$E$1:$E$1048576,"*BRGY.29*",[1]SurveyDATA!$BS$1:$BS$1048576,"RESIDENTIAL*",[1]SurveyDATA!$BT$1:$BT$1048576,"*STRUCTURE RENTER*",[1]SurveyDATA!$A$1:$A$1048576,"LEGAL",[1]SurveyDATA!$JR$1:$JR$1048576,"*NEED*")</f>
        <v>0</v>
      </c>
      <c r="M41" s="6" t="n">
        <f aca="false">COUNTIFS([1]SurveyDATA!$E$1:$E$1048576,"*BRGY.25*",[1]SurveyDATA!$BS$1:$BS$1048576,"RESIDENTIAL*",[1]SurveyDATA!$BT$1:$BT$1048576,"*STRUCTURE OWNER*",[1]SurveyDATA!$A$1:$A$1048576,"LEGAL",[1]SurveyDATA!$JR$1:$JR$1048576,"*STAY*",[1]SurveyDATA!AS$1:AS$1048576,"*ABSENTEE*")</f>
        <v>0</v>
      </c>
      <c r="N41" s="6" t="n">
        <f aca="false">COUNTIFS([1]SurveyDATA!$E$1:$E$1048576,"*BRGY.25*",[1]SurveyDATA!$BS$1:$BS$1048576,"RESIDENTIAL*",[1]SurveyDATA!$BT$1:$BT$1048576,"*STRUCTURE OWNER*",[1]SurveyDATA!$A$1:$A$1048576,"LEGAL",[1]SurveyDATA!$JR$1:$JR$1048576,"*NEED*",[1]SurveyDATA!AS$1:AS$1048576,"*ABSENTEE*")</f>
        <v>0</v>
      </c>
      <c r="O41" s="7" t="e">
        <f aca="false">COUNTIFS([1]surveydata!#ref!,"*LEGAL*",[1]surveydata!#ref!,"*BRGY.29*",[1]SurveyDATA!Q$1:Q$1048576,"LAND OWNER",[1]SurveyDATA!T$1:T$1048576,"&lt;20%",[1]SurveyDATA!AS$1:AS$1048576,"")</f>
        <v>#NAME?</v>
      </c>
      <c r="P41" s="7" t="e">
        <f aca="false">COUNTIFS([1]surveydata!#ref!,"*LEGAL*",[1]surveydata!#ref!,"*BRGY.29*",[1]SurveyDATA!Q$1:Q$1048576,"LAND OWNER",[1]SurveyDATA!T$1:T$1048576,"&gt;20%",[1]SurveyDATA!AS$1:AS$1048576,"")</f>
        <v>#NAME?</v>
      </c>
      <c r="Q41" s="12"/>
      <c r="R41" s="12"/>
      <c r="S41" s="7" t="e">
        <f aca="false">SUM(Q41,O41,M41,K41,I41,G41,K41,E41,C41,)</f>
        <v>#NAME?</v>
      </c>
      <c r="T41" s="7" t="e">
        <f aca="false">SUM(R41,P41,N41,L41,J41,H41,L41,F41,D41,)</f>
        <v>#NAME?</v>
      </c>
    </row>
    <row r="42" customFormat="false" ht="15" hidden="false" customHeight="false" outlineLevel="0" collapsed="false">
      <c r="A42" s="5"/>
      <c r="B42" s="5" t="s">
        <v>55</v>
      </c>
      <c r="C42" s="6" t="n">
        <f aca="false">COUNTIFS([1]SurveyDATA!$E$1:$E$1048576,"*CATMON*",[1]SurveyDATA!$BS$1:$BS$1048576,"*RESIDENTIAL*",[1]SurveyDATA!$BT$1:$BT$1048576,"*STRUCTURE OWNER*",[1]SurveyDATA!$A$1:$A$1048576,"LEGAL",[1]SurveyDATA!$JR$1:$JR$1048576,"*STAY*")</f>
        <v>2</v>
      </c>
      <c r="D42" s="6" t="n">
        <f aca="false">COUNTIFS([1]SurveyDATA!$E$1:$E$1048576,"*CATMON*",[1]SurveyDATA!$BS$1:$BS$1048576,"*RESIDENTIAL*",[1]SurveyDATA!$BT$1:$BT$1048576,"*STRUCTURE OWNER*",[1]SurveyDATA!$A$1:$A$1048576,"LEGAL",[1]SurveyDATA!$JR$1:$JR$1048576,"*NEED*")</f>
        <v>1</v>
      </c>
      <c r="E42" s="6" t="n">
        <f aca="false">COUNTIFS([1]SurveyDATA!$E$1:$E$1048576,"*BRGY.32*",[1]SurveyDATA!$BS$1:$BS$1048576,"*MIXED*",[1]SurveyDATA!$BT$1:$BT$1048576,"*STRUCTURE OWNER*",[1]SurveyDATA!$A$1:$A$1048576,"LEGAL",[1]SurveyDATA!$JR$1:$JR$1048576,"*STAY*")</f>
        <v>0</v>
      </c>
      <c r="F42" s="6" t="n">
        <f aca="false">COUNTIFS([1]SurveyDATA!$E$1:$E$1048576,"*BRGY.32*",[1]SurveyDATA!$BS$1:$BS$1048576,"*MIXED*",[1]SurveyDATA!$BT$1:$BT$1048576,"*STRUCTURE OWNER*",[1]SurveyDATA!$A$1:$A$1048576,"LEGAL",[1]SurveyDATA!$JR$1:$JR$1048576,"*NEED*")</f>
        <v>0</v>
      </c>
      <c r="G42" s="6" t="n">
        <f aca="false">COUNTIFS([1]SurveyDATA!$E$1:$E$1048576,"*BRGY.32*",[1]SurveyDATA!$BS$1:$BS$1048576,"*COMMERICIAL*",[1]SurveyDATA!$BT$1:$BT$1048576,"*STRUCTURE OWNER*",[1]SurveyDATA!$A$1:$A$1048576,"LEGAL",[1]SurveyDATA!$JR$1:$JR$1048576,"*STAY*")</f>
        <v>0</v>
      </c>
      <c r="H42" s="6" t="n">
        <f aca="false">COUNTIFS([1]SurveyDATA!$E$1:$E$1048576,"*BRGY.32*",[1]SurveyDATA!$BS$1:$BS$1048576,"*COMMERCIAL*",[1]SurveyDATA!$BT$1:$BT$1048576,"*STRUCTURE OWNER*",[1]SurveyDATA!$A$1:$A$1048576,"LEGAL",[1]SurveyDATA!$JR$1:$JR$1048576,"*NEED*")</f>
        <v>0</v>
      </c>
      <c r="I42" s="6" t="n">
        <f aca="false">COUNTIFS([1]SurveyDATA!$E$1:$E$1048576,"*BRGY.32*",[1]SurveyDATA!$BS$1:$BS$1048576,"*INSTITUTIONAL*",[1]SurveyDATA!$BT$1:$BT$1048576,"*STRUCTURE OWNER*",[1]SurveyDATA!$A$1:$A$1048576,"LEGAL",[1]SurveyDATA!$JR$1:$JR$1048576,"*STAY*")</f>
        <v>0</v>
      </c>
      <c r="J42" s="6" t="n">
        <f aca="false">COUNTIFS([1]SurveyDATA!$E$1:$E$1048576,"*BRGY.32*",[1]SurveyDATA!$BS$1:$BS$1048576,"*INSTITUTIONAL*",[1]SurveyDATA!$BT$1:$BT$1048576,"*STRUCTURE OWNER*",[1]SurveyDATA!$A$1:$A$1048576,"LEGAL",[1]SurveyDATA!$JR$1:$JR$1048576,"*NEED*")</f>
        <v>0</v>
      </c>
      <c r="K42" s="6" t="n">
        <f aca="false">COUNTIFS([1]SurveyDATA!$E$1:$E$1048576,"*BRGY.32*",[1]SurveyDATA!$BS$1:$BS$1048576,"RESIDENTIAL*",[1]SurveyDATA!$BT$1:$BT$1048576,"*STRUCTURE RENTER*",[1]SurveyDATA!$A$1:$A$1048576,"LEGAL",[1]SurveyDATA!$JR$1:$JR$1048576,"*STAY*")</f>
        <v>0</v>
      </c>
      <c r="L42" s="6" t="n">
        <f aca="false">COUNTIFS([1]SurveyDATA!$E$1:$E$1048576,"*BRGY.32*",[1]SurveyDATA!$BS$1:$BS$1048576,"RESIDENTIAL*",[1]SurveyDATA!$BT$1:$BT$1048576,"*STRUCTURE RENTER*",[1]SurveyDATA!$A$1:$A$1048576,"LEGAL",[1]SurveyDATA!$JR$1:$JR$1048576,"*NEED*")</f>
        <v>0</v>
      </c>
      <c r="M42" s="6" t="n">
        <f aca="false">COUNTIFS([1]SurveyDATA!$E$1:$E$1048576,"*BRGY.32*",[1]SurveyDATA!$BS$1:$BS$1048576,"RESIDENTIAL*",[1]SurveyDATA!$BT$1:$BT$1048576,"*STRUCTURE OWNER*",[1]SurveyDATA!$A$1:$A$1048576,"LEGAL",[1]SurveyDATA!$JR$1:$JR$1048576,"*STAY*",[1]SurveyDATA!AS$1:AS$1048576,"*ABSENTEE*")</f>
        <v>0</v>
      </c>
      <c r="N42" s="6" t="n">
        <f aca="false">COUNTIFS([1]SurveyDATA!$E$1:$E$1048576,"*BRGY.32*",[1]SurveyDATA!$BS$1:$BS$1048576,"RESIDENTIAL*",[1]SurveyDATA!$BT$1:$BT$1048576,"*STRUCTURE OWNER*",[1]SurveyDATA!$A$1:$A$1048576,"LEGAL",[1]SurveyDATA!$JR$1:$JR$1048576,"*NEED*",[1]SurveyDATA!AS$1:AS$1048576,"*ABSENTEE*")</f>
        <v>0</v>
      </c>
      <c r="O42" s="7" t="e">
        <f aca="false">COUNTIFS([1]surveydata!#ref!,"*LEGAL*",[1]surveydata!#ref!,"*BRGY.32*",[1]SurveyDATA!Q$1:Q$1048576,"LAND OWNER",[1]SurveyDATA!T$1:T$1048576,"&lt;20%",[1]SurveyDATA!AS$1:AS$1048576,"")</f>
        <v>#NAME?</v>
      </c>
      <c r="P42" s="7" t="e">
        <f aca="false">COUNTIFS([1]surveydata!#ref!,"*LEGAL*",[1]surveydata!#ref!,"*BRGY.32*",[1]SurveyDATA!Q$1:Q$1048576,"LAND OWNER",[1]SurveyDATA!T$1:T$1048576,"&gt;20%",[1]SurveyDATA!AS$1:AS$1048576,"")</f>
        <v>#NAME?</v>
      </c>
      <c r="Q42" s="12"/>
      <c r="R42" s="12"/>
      <c r="S42" s="7" t="e">
        <f aca="false">SUM(Q42,O42,M42,K42,I42,G42,K42,E42,C42,)</f>
        <v>#NAME?</v>
      </c>
      <c r="T42" s="7" t="e">
        <f aca="false">SUM(R42,P42,N42,L42,J42,H42,L42,F42,D42,)</f>
        <v>#NAME?</v>
      </c>
    </row>
    <row r="43" customFormat="false" ht="15" hidden="false" customHeight="false" outlineLevel="0" collapsed="false">
      <c r="A43" s="5"/>
      <c r="B43" s="5" t="s">
        <v>56</v>
      </c>
      <c r="C43" s="6" t="n">
        <f aca="false">COUNTIFS([1]SurveyDATA!$E$1:$E$1048576,"*CATMON*",[1]SurveyDATA!$BS$1:$BS$1048576,"*RESIDENTIAL*",[1]SurveyDATA!$BT$1:$BT$1048576,"*STRUCTURE OWNER*",[1]SurveyDATA!$A$1:$A$1048576,"LEGAL",[1]SurveyDATA!$JR$1:$JR$1048576,"*STAY*")</f>
        <v>2</v>
      </c>
      <c r="D43" s="6" t="n">
        <f aca="false">COUNTIFS([1]SurveyDATA!$E$1:$E$1048576,"*CATMON*",[1]SurveyDATA!$BS$1:$BS$1048576,"*RESIDENTIAL*",[1]SurveyDATA!$BT$1:$BT$1048576,"*STRUCTURE OWNER*",[1]SurveyDATA!$A$1:$A$1048576,"LEGAL",[1]SurveyDATA!$JR$1:$JR$1048576,"*NEED*")</f>
        <v>1</v>
      </c>
      <c r="E43" s="6" t="n">
        <f aca="false">COUNTIFS([1]SurveyDATA!$E$1:$E$1048576,"*BRGY.33*",[1]SurveyDATA!$BS$1:$BS$1048576,"*MIXED*",[1]SurveyDATA!$BT$1:$BT$1048576,"*STRUCTURE OWNER*",[1]SurveyDATA!$A$1:$A$1048576,"LEGAL",[1]SurveyDATA!$JR$1:$JR$1048576,"*STAY*")</f>
        <v>0</v>
      </c>
      <c r="F43" s="6" t="n">
        <f aca="false">COUNTIFS([1]SurveyDATA!$E$1:$E$1048576,"*BRGY.33*",[1]SurveyDATA!$BS$1:$BS$1048576,"*MIXED*",[1]SurveyDATA!$BT$1:$BT$1048576,"*STRUCTURE OWNER*",[1]SurveyDATA!$A$1:$A$1048576,"LEGAL",[1]SurveyDATA!$JR$1:$JR$1048576,"*NEED*")</f>
        <v>0</v>
      </c>
      <c r="G43" s="6" t="n">
        <f aca="false">COUNTIFS([1]SurveyDATA!$E$1:$E$1048576,"*BRGY.33*",[1]SurveyDATA!$BS$1:$BS$1048576,"*COMMERICIAL*",[1]SurveyDATA!$BT$1:$BT$1048576,"*STRUCTURE OWNER*",[1]SurveyDATA!$A$1:$A$1048576,"LEGAL",[1]SurveyDATA!$JR$1:$JR$1048576,"*STAY*")</f>
        <v>0</v>
      </c>
      <c r="H43" s="6" t="n">
        <f aca="false">COUNTIFS([1]SurveyDATA!$E$1:$E$1048576,"*BRGY.33*",[1]SurveyDATA!$BS$1:$BS$1048576,"*COMMERCIAL*",[1]SurveyDATA!$BT$1:$BT$1048576,"*STRUCTURE OWNER*",[1]SurveyDATA!$A$1:$A$1048576,"LEGAL",[1]SurveyDATA!$JR$1:$JR$1048576,"*NEED*")</f>
        <v>0</v>
      </c>
      <c r="I43" s="6" t="n">
        <f aca="false">COUNTIFS([1]SurveyDATA!$E$1:$E$1048576,"*BRGY.33*",[1]SurveyDATA!$BS$1:$BS$1048576,"*INSTITUTIONAL*",[1]SurveyDATA!$BT$1:$BT$1048576,"*STRUCTURE OWNER*",[1]SurveyDATA!$A$1:$A$1048576,"LEGAL",[1]SurveyDATA!$JR$1:$JR$1048576,"*STAY*")</f>
        <v>0</v>
      </c>
      <c r="J43" s="6" t="n">
        <f aca="false">COUNTIFS([1]SurveyDATA!$E$1:$E$1048576,"*BRGY.33*",[1]SurveyDATA!$BS$1:$BS$1048576,"*INSTITUTIONAL*",[1]SurveyDATA!$BT$1:$BT$1048576,"*STRUCTURE OWNER*",[1]SurveyDATA!$A$1:$A$1048576,"LEGAL",[1]SurveyDATA!$JR$1:$JR$1048576,"*NEED*")</f>
        <v>0</v>
      </c>
      <c r="K43" s="6" t="n">
        <f aca="false">COUNTIFS([1]SurveyDATA!$E$1:$E$1048576,"*BRGY.33*",[1]SurveyDATA!$BS$1:$BS$1048576,"RESIDENTIAL*",[1]SurveyDATA!$BT$1:$BT$1048576,"*STRUCTURE RENTER*",[1]SurveyDATA!$A$1:$A$1048576,"LEGAL",[1]SurveyDATA!$JR$1:$JR$1048576,"*STAY*")</f>
        <v>0</v>
      </c>
      <c r="L43" s="6" t="n">
        <f aca="false">COUNTIFS([1]SurveyDATA!$E$1:$E$1048576,"*BRGY.33*",[1]SurveyDATA!$BS$1:$BS$1048576,"RESIDENTIAL*",[1]SurveyDATA!$BT$1:$BT$1048576,"*STRUCTURE RENTER*",[1]SurveyDATA!$A$1:$A$1048576,"LEGAL",[1]SurveyDATA!$JR$1:$JR$1048576,"*NEED*")</f>
        <v>0</v>
      </c>
      <c r="M43" s="6" t="n">
        <f aca="false">COUNTIFS([1]SurveyDATA!$E$1:$E$1048576,"*BRGY.33*",[1]SurveyDATA!$BS$1:$BS$1048576,"RESIDENTIAL*",[1]SurveyDATA!$BT$1:$BT$1048576,"*STRUCTURE OWNER*",[1]SurveyDATA!$A$1:$A$1048576,"LEGAL",[1]SurveyDATA!$JR$1:$JR$1048576,"*STAY*",[1]SurveyDATA!AS$1:AS$1048576,"*ABSENTEE*")</f>
        <v>0</v>
      </c>
      <c r="N43" s="6" t="n">
        <f aca="false">COUNTIFS([1]SurveyDATA!$E$1:$E$1048576,"*BRGY.33*",[1]SurveyDATA!$BS$1:$BS$1048576,"RESIDENTIAL*",[1]SurveyDATA!$BT$1:$BT$1048576,"*STRUCTURE OWNER*",[1]SurveyDATA!$A$1:$A$1048576,"LEGAL",[1]SurveyDATA!$JR$1:$JR$1048576,"*NEED*",[1]SurveyDATA!AS$1:AS$1048576,"*ABSENTEE*")</f>
        <v>0</v>
      </c>
      <c r="O43" s="7" t="e">
        <f aca="false">COUNTIFS([1]surveydata!#ref!,"*LEGAL*",[1]surveydata!#ref!,"*BRGY.33*",[1]SurveyDATA!Q$1:Q$1048576,"LAND OWNER",[1]SurveyDATA!T$1:T$1048576,"&lt;20%",[1]SurveyDATA!AS$1:AS$1048576,"")</f>
        <v>#NAME?</v>
      </c>
      <c r="P43" s="7" t="e">
        <f aca="false">COUNTIFS([1]surveydata!#ref!,"*LEGAL*",[1]surveydata!#ref!,"*BRGY.33*",[1]SurveyDATA!Q$1:Q$1048576,"LAND OWNER",[1]SurveyDATA!T$1:T$1048576,"&gt;20%",[1]SurveyDATA!AS$1:AS$1048576,"")</f>
        <v>#NAME?</v>
      </c>
      <c r="Q43" s="12"/>
      <c r="R43" s="12"/>
      <c r="S43" s="7" t="e">
        <f aca="false">SUM(Q43,O43,M43,K43,I43,G43,K43,E43,C43,)</f>
        <v>#NAME?</v>
      </c>
      <c r="T43" s="7" t="e">
        <f aca="false">SUM(R43,P43,N43,L43,J43,H43,L43,F43,D43,)</f>
        <v>#NAME?</v>
      </c>
    </row>
    <row r="44" customFormat="false" ht="15" hidden="false" customHeight="false" outlineLevel="0" collapsed="false">
      <c r="A44" s="9"/>
      <c r="B44" s="10" t="s">
        <v>22</v>
      </c>
      <c r="C44" s="11" t="n">
        <f aca="false">SUM(C35:C43)</f>
        <v>18</v>
      </c>
      <c r="D44" s="11" t="n">
        <f aca="false">SUM(D35:D43)</f>
        <v>9</v>
      </c>
      <c r="E44" s="11" t="n">
        <f aca="false">SUM(E35:E43)</f>
        <v>0</v>
      </c>
      <c r="F44" s="11" t="n">
        <f aca="false">SUM(F35:F43)</f>
        <v>0</v>
      </c>
      <c r="G44" s="11" t="n">
        <f aca="false">SUM(G35:G43)</f>
        <v>0</v>
      </c>
      <c r="H44" s="11" t="n">
        <f aca="false">SUM(H35:H43)</f>
        <v>0</v>
      </c>
      <c r="I44" s="11" t="n">
        <f aca="false">SUM(I35:I43)</f>
        <v>0</v>
      </c>
      <c r="J44" s="11" t="n">
        <f aca="false">SUM(J35:J43)</f>
        <v>0</v>
      </c>
      <c r="K44" s="11" t="n">
        <f aca="false">SUM(K35:K43)</f>
        <v>0</v>
      </c>
      <c r="L44" s="11" t="n">
        <f aca="false">SUM(L35:L43)</f>
        <v>0</v>
      </c>
      <c r="M44" s="11" t="n">
        <f aca="false">SUM(M35:M43)</f>
        <v>0</v>
      </c>
      <c r="N44" s="11" t="n">
        <f aca="false">SUM(N35:N43)</f>
        <v>0</v>
      </c>
      <c r="O44" s="11" t="e">
        <f aca="false">SUM(O35:O43)</f>
        <v>#NAME?</v>
      </c>
      <c r="P44" s="11" t="e">
        <f aca="false">SUM(P35:P43)</f>
        <v>#NAME?</v>
      </c>
      <c r="Q44" s="11" t="n">
        <f aca="false">SUM(Q35:Q43)</f>
        <v>0</v>
      </c>
      <c r="R44" s="11" t="n">
        <f aca="false">SUM(R35:R43)</f>
        <v>0</v>
      </c>
      <c r="S44" s="11" t="e">
        <f aca="false">SUM(S35:S43)</f>
        <v>#NAME?</v>
      </c>
      <c r="T44" s="11" t="e">
        <f aca="false">SUM(T35:T43)</f>
        <v>#NAME?</v>
      </c>
    </row>
    <row r="45" customFormat="false" ht="15" hidden="false" customHeight="false" outlineLevel="0" collapsed="false">
      <c r="A45" s="5" t="s">
        <v>57</v>
      </c>
      <c r="B45" s="5" t="s">
        <v>58</v>
      </c>
      <c r="C45" s="6" t="n">
        <f aca="false">COUNTIFS([1]SurveyDATA!$E$1:$E$1048576,"*CATMON*",[1]SurveyDATA!$BS$1:$BS$1048576,"*RESIDENTIAL*",[1]SurveyDATA!$BT$1:$BT$1048576,"*STRUCTURE OWNER*",[1]SurveyDATA!$A$1:$A$1048576,"LEGAL",[1]SurveyDATA!$JR$1:$JR$1048576,"*STAY*")</f>
        <v>2</v>
      </c>
      <c r="D45" s="6" t="n">
        <f aca="false">COUNTIFS([1]SurveyDATA!$E$1:$E$1048576,"*CATMON*",[1]SurveyDATA!$BS$1:$BS$1048576,"*RESIDENTIAL*",[1]SurveyDATA!$BT$1:$BT$1048576,"*STRUCTURE OWNER*",[1]SurveyDATA!$A$1:$A$1048576,"LEGAL",[1]SurveyDATA!$JR$1:$JR$1048576,"*NEED*")</f>
        <v>1</v>
      </c>
      <c r="E45" s="6" t="n">
        <f aca="false">COUNTIFS([1]SurveyDATA!$E$1:$E$1048576,"*BRGY.184*",[1]SurveyDATA!$BS$1:$BS$1048576,"*MIXED*",[1]SurveyDATA!$BT$1:$BT$1048576,"*STRUCTURE OWNER*",[1]SurveyDATA!$A$1:$A$1048576,"LEGAL",[1]SurveyDATA!$JR$1:$JR$1048576,"*STAY*")</f>
        <v>0</v>
      </c>
      <c r="F45" s="6" t="n">
        <f aca="false">COUNTIFS([1]SurveyDATA!$E$1:$E$1048576,"*BRGY.184*",[1]SurveyDATA!$BS$1:$BS$1048576,"*MIXED*",[1]SurveyDATA!$BT$1:$BT$1048576,"*STRUCTURE OWNER*",[1]SurveyDATA!$A$1:$A$1048576,"LEGAL",[1]SurveyDATA!$JR$1:$JR$1048576,"*NEED*")</f>
        <v>0</v>
      </c>
      <c r="G45" s="6" t="n">
        <f aca="false">COUNTIFS([1]SurveyDATA!$E$1:$E$1048576,"*BRGY.184*",[1]SurveyDATA!$BS$1:$BS$1048576,"*COMMERICIAL*",[1]SurveyDATA!$BT$1:$BT$1048576,"*STRUCTURE OWNER*",[1]SurveyDATA!$A$1:$A$1048576,"LEGAL",[1]SurveyDATA!$JR$1:$JR$1048576,"*STAY*")</f>
        <v>0</v>
      </c>
      <c r="H45" s="6" t="n">
        <f aca="false">COUNTIFS([1]SurveyDATA!$E$1:$E$1048576,"*BRGY.184*",[1]SurveyDATA!$BS$1:$BS$1048576,"*COMMERCIAL*",[1]SurveyDATA!$BT$1:$BT$1048576,"*STRUCTURE OWNER*",[1]SurveyDATA!$A$1:$A$1048576,"LEGAL",[1]SurveyDATA!$JR$1:$JR$1048576,"*NEED*")</f>
        <v>0</v>
      </c>
      <c r="I45" s="6" t="n">
        <f aca="false">COUNTIFS([1]SurveyDATA!$E$1:$E$1048576,"*BRGY.184*",[1]SurveyDATA!$BS$1:$BS$1048576,"*INSTITUTIONAL*",[1]SurveyDATA!$BT$1:$BT$1048576,"*STRUCTURE OWNER*",[1]SurveyDATA!$A$1:$A$1048576,"LEGAL",[1]SurveyDATA!$JR$1:$JR$1048576,"*STAY*")</f>
        <v>0</v>
      </c>
      <c r="J45" s="6" t="n">
        <f aca="false">COUNTIFS([1]SurveyDATA!$E$1:$E$1048576,"*BRGY.184*",[1]SurveyDATA!$BS$1:$BS$1048576,"*INSTITUTIONAL*",[1]SurveyDATA!$BT$1:$BT$1048576,"*STRUCTURE OWNER*",[1]SurveyDATA!$A$1:$A$1048576,"LEGAL",[1]SurveyDATA!$JR$1:$JR$1048576,"*NEED*")</f>
        <v>0</v>
      </c>
      <c r="K45" s="6" t="n">
        <f aca="false">COUNTIFS([1]SurveyDATA!$E$1:$E$1048576,"*BRGY.184*",[1]SurveyDATA!$BS$1:$BS$1048576,"RESIDENTIAL*",[1]SurveyDATA!$BT$1:$BT$1048576,"*STRUCTURE RENTER*",[1]SurveyDATA!$A$1:$A$1048576,"LEGAL",[1]SurveyDATA!$JR$1:$JR$1048576,"*STAY*")</f>
        <v>0</v>
      </c>
      <c r="L45" s="6" t="n">
        <f aca="false">COUNTIFS([1]SurveyDATA!$E$1:$E$1048576,"*BRGY.184*",[1]SurveyDATA!$BS$1:$BS$1048576,"RESIDENTIAL*",[1]SurveyDATA!$BT$1:$BT$1048576,"*STRUCTURE RENTER*",[1]SurveyDATA!$A$1:$A$1048576,"LEGAL",[1]SurveyDATA!$JR$1:$JR$1048576,"*NEED*")</f>
        <v>0</v>
      </c>
      <c r="M45" s="6" t="n">
        <f aca="false">COUNTIFS([1]SurveyDATA!$E$1:$E$1048576,"*BRGY.184*",[1]SurveyDATA!$BS$1:$BS$1048576,"RESIDENTIAL*",[1]SurveyDATA!$BT$1:$BT$1048576,"*STRUCTURE OWNER*",[1]SurveyDATA!$A$1:$A$1048576,"LEGAL",[1]SurveyDATA!$JR$1:$JR$1048576,"*STAY*",[1]SurveyDATA!AS$1:AS$1048576,"*ABSENTEE*")</f>
        <v>0</v>
      </c>
      <c r="N45" s="6" t="n">
        <f aca="false">COUNTIFS([1]SurveyDATA!$E$1:$E$1048576,"*BRGY.184*",[1]SurveyDATA!$BS$1:$BS$1048576,"RESIDENTIAL*",[1]SurveyDATA!$BT$1:$BT$1048576,"*STRUCTURE OWNER*",[1]SurveyDATA!$A$1:$A$1048576,"LEGAL",[1]SurveyDATA!$JR$1:$JR$1048576,"*NEED*",[1]SurveyDATA!AS$1:AS$1048576,"*ABSENTEE*")</f>
        <v>0</v>
      </c>
      <c r="O45" s="7" t="e">
        <f aca="false">COUNTIFS([1]surveydata!#ref!,"*LEGAL*",[1]surveydata!#ref!,"*BRGY.184*",[1]SurveyDATA!Q$1:Q$1048576,"LAND OWNER",[1]SurveyDATA!T$1:T$1048576,"&lt;20%",[1]SurveyDATA!AS$1:AS$1048576,"")</f>
        <v>#NAME?</v>
      </c>
      <c r="P45" s="7" t="e">
        <f aca="false">COUNTIFS([1]surveydata!#ref!,"*LEGAL*",[1]surveydata!#ref!,"*BRGY.184*",[1]SurveyDATA!Q$1:Q$1048576,"LAND OWNER",[1]SurveyDATA!T$1:T$1048576,"&gt;20%",[1]SurveyDATA!AS$1:AS$1048576,"")</f>
        <v>#NAME?</v>
      </c>
      <c r="Q45" s="12"/>
      <c r="R45" s="13"/>
      <c r="S45" s="7" t="e">
        <f aca="false">SUM(Q45,O45,M45,K45,I45,G45,K45,E45,C45,)</f>
        <v>#NAME?</v>
      </c>
      <c r="T45" s="7" t="e">
        <f aca="false">SUM(R45,P45,N45,L45,J45,H45,L45,F45,D45,)</f>
        <v>#NAME?</v>
      </c>
    </row>
    <row r="46" customFormat="false" ht="15" hidden="false" customHeight="false" outlineLevel="0" collapsed="false">
      <c r="A46" s="5"/>
      <c r="B46" s="5" t="s">
        <v>59</v>
      </c>
      <c r="C46" s="6" t="n">
        <f aca="false">COUNTIFS([1]SurveyDATA!$E$1:$E$1048576,"*CATMON*",[1]SurveyDATA!$BS$1:$BS$1048576,"*RESIDENTIAL*",[1]SurveyDATA!$BT$1:$BT$1048576,"*STRUCTURE OWNER*",[1]SurveyDATA!$A$1:$A$1048576,"LEGAL",[1]SurveyDATA!$JR$1:$JR$1048576,"*STAY*")</f>
        <v>2</v>
      </c>
      <c r="D46" s="6" t="n">
        <f aca="false">COUNTIFS([1]SurveyDATA!$E$1:$E$1048576,"*CATMON*",[1]SurveyDATA!$BS$1:$BS$1048576,"*RESIDENTIAL*",[1]SurveyDATA!$BT$1:$BT$1048576,"*STRUCTURE OWNER*",[1]SurveyDATA!$A$1:$A$1048576,"LEGAL",[1]SurveyDATA!$JR$1:$JR$1048576,"*NEED*")</f>
        <v>1</v>
      </c>
      <c r="E46" s="6" t="n">
        <f aca="false">COUNTIFS([1]SurveyDATA!$E$1:$E$1048576,"*BRGY.186*",[1]SurveyDATA!$BS$1:$BS$1048576,"*MIXED*",[1]SurveyDATA!$BT$1:$BT$1048576,"*STRUCTURE OWNER*",[1]SurveyDATA!$A$1:$A$1048576,"LEGAL",[1]SurveyDATA!$JR$1:$JR$1048576,"*STAY*")</f>
        <v>0</v>
      </c>
      <c r="F46" s="6" t="n">
        <f aca="false">COUNTIFS([1]SurveyDATA!$E$1:$E$1048576,"*BRGY.186*",[1]SurveyDATA!$BS$1:$BS$1048576,"*MIXED*",[1]SurveyDATA!$BT$1:$BT$1048576,"*STRUCTURE OWNER*",[1]SurveyDATA!$A$1:$A$1048576,"LEGAL",[1]SurveyDATA!$JR$1:$JR$1048576,"*NEED*")</f>
        <v>0</v>
      </c>
      <c r="G46" s="6" t="n">
        <f aca="false">COUNTIFS([1]SurveyDATA!$E$1:$E$1048576,"*BRGY.186*",[1]SurveyDATA!$BS$1:$BS$1048576,"*COMMERICIAL*",[1]SurveyDATA!$BT$1:$BT$1048576,"*STRUCTURE OWNER*",[1]SurveyDATA!$A$1:$A$1048576,"LEGAL",[1]SurveyDATA!$JR$1:$JR$1048576,"*STAY*")</f>
        <v>0</v>
      </c>
      <c r="H46" s="6" t="n">
        <f aca="false">COUNTIFS([1]SurveyDATA!$E$1:$E$1048576,"*BRGY.186*",[1]SurveyDATA!$BS$1:$BS$1048576,"*COMMERCIAL*",[1]SurveyDATA!$BT$1:$BT$1048576,"*STRUCTURE OWNER*",[1]SurveyDATA!$A$1:$A$1048576,"LEGAL",[1]SurveyDATA!$JR$1:$JR$1048576,"*NEED*")</f>
        <v>0</v>
      </c>
      <c r="I46" s="6" t="n">
        <f aca="false">COUNTIFS([1]SurveyDATA!$E$1:$E$1048576,"*BRGY.186*",[1]SurveyDATA!$BS$1:$BS$1048576,"*INSTITUTIONAL*",[1]SurveyDATA!$BT$1:$BT$1048576,"*STRUCTURE OWNER*",[1]SurveyDATA!$A$1:$A$1048576,"LEGAL",[1]SurveyDATA!$JR$1:$JR$1048576,"*STAY*")</f>
        <v>0</v>
      </c>
      <c r="J46" s="6" t="n">
        <f aca="false">COUNTIFS([1]SurveyDATA!$E$1:$E$1048576,"*BRGY.186*",[1]SurveyDATA!$BS$1:$BS$1048576,"*INSTITUTIONAL*",[1]SurveyDATA!$BT$1:$BT$1048576,"*STRUCTURE OWNER*",[1]SurveyDATA!$A$1:$A$1048576,"LEGAL",[1]SurveyDATA!$JR$1:$JR$1048576,"*NEED*")</f>
        <v>0</v>
      </c>
      <c r="K46" s="6" t="n">
        <f aca="false">COUNTIFS([1]SurveyDATA!$E$1:$E$1048576,"*BRGY.186*",[1]SurveyDATA!$BS$1:$BS$1048576,"RESIDENTIAL*",[1]SurveyDATA!$BT$1:$BT$1048576,"*STRUCTURE RENTER*",[1]SurveyDATA!$A$1:$A$1048576,"LEGAL",[1]SurveyDATA!$JR$1:$JR$1048576,"*STAY*")</f>
        <v>0</v>
      </c>
      <c r="L46" s="6" t="n">
        <f aca="false">COUNTIFS([1]SurveyDATA!$E$1:$E$1048576,"*BRGY.186*",[1]SurveyDATA!$BS$1:$BS$1048576,"RESIDENTIAL*",[1]SurveyDATA!$BT$1:$BT$1048576,"*STRUCTURE RENTER*",[1]SurveyDATA!$A$1:$A$1048576,"LEGAL",[1]SurveyDATA!$JR$1:$JR$1048576,"*NEED*")</f>
        <v>0</v>
      </c>
      <c r="M46" s="6" t="n">
        <f aca="false">COUNTIFS([1]SurveyDATA!$E$1:$E$1048576,"*BRGY.186*",[1]SurveyDATA!$BS$1:$BS$1048576,"RESIDENTIAL*",[1]SurveyDATA!$BT$1:$BT$1048576,"*STRUCTURE OWNER*",[1]SurveyDATA!$A$1:$A$1048576,"LEGAL",[1]SurveyDATA!$JR$1:$JR$1048576,"*STAY*",[1]SurveyDATA!AS$1:AS$1048576,"*ABSENTEE*")</f>
        <v>0</v>
      </c>
      <c r="N46" s="6" t="n">
        <f aca="false">COUNTIFS([1]SurveyDATA!$E$1:$E$1048576,"*BRGY.186*",[1]SurveyDATA!$BS$1:$BS$1048576,"RESIDENTIAL*",[1]SurveyDATA!$BT$1:$BT$1048576,"*STRUCTURE OWNER*",[1]SurveyDATA!$A$1:$A$1048576,"LEGAL",[1]SurveyDATA!$JR$1:$JR$1048576,"*NEED*",[1]SurveyDATA!AS$1:AS$1048576,"*ABSENTEE*")</f>
        <v>0</v>
      </c>
      <c r="O46" s="7" t="e">
        <f aca="false">COUNTIFS([1]surveydata!#ref!,"*LEGAL*",[1]surveydata!#ref!,"*BRGY.186*",[1]SurveyDATA!Q$1:Q$1048576,"LAND OWNER",[1]SurveyDATA!T$1:T$1048576,"&lt;20%",[1]SurveyDATA!AS$1:AS$1048576,"")</f>
        <v>#NAME?</v>
      </c>
      <c r="P46" s="7" t="e">
        <f aca="false">COUNTIFS([1]surveydata!#ref!,"*LEGAL*",[1]surveydata!#ref!,"*BRGY.186*",[1]SurveyDATA!Q$1:Q$1048576,"LAND OWNER",[1]SurveyDATA!T$1:T$1048576,"&gt;20%",[1]SurveyDATA!AS$1:AS$1048576,"")</f>
        <v>#NAME?</v>
      </c>
      <c r="Q46" s="12"/>
      <c r="R46" s="13"/>
      <c r="S46" s="7" t="e">
        <f aca="false">SUM(Q46,O46,M46,K46,I46,G46,K46,E46,C46,)</f>
        <v>#NAME?</v>
      </c>
      <c r="T46" s="7" t="e">
        <f aca="false">SUM(R46,P46,N46,L46,J46,H46,L46,F46,D46,)</f>
        <v>#NAME?</v>
      </c>
    </row>
    <row r="47" customFormat="false" ht="15" hidden="false" customHeight="false" outlineLevel="0" collapsed="false">
      <c r="A47" s="5"/>
      <c r="B47" s="5" t="s">
        <v>60</v>
      </c>
      <c r="C47" s="6" t="n">
        <f aca="false">COUNTIFS([1]SurveyDATA!$E$1:$E$1048576,"*CATMON*",[1]SurveyDATA!$BS$1:$BS$1048576,"*RESIDENTIAL*",[1]SurveyDATA!$BT$1:$BT$1048576,"*STRUCTURE OWNER*",[1]SurveyDATA!$A$1:$A$1048576,"LEGAL",[1]SurveyDATA!$JR$1:$JR$1048576,"*STAY*")</f>
        <v>2</v>
      </c>
      <c r="D47" s="6" t="n">
        <f aca="false">COUNTIFS([1]SurveyDATA!$E$1:$E$1048576,"*CATMON*",[1]SurveyDATA!$BS$1:$BS$1048576,"*RESIDENTIAL*",[1]SurveyDATA!$BT$1:$BT$1048576,"*STRUCTURE OWNER*",[1]SurveyDATA!$A$1:$A$1048576,"LEGAL",[1]SurveyDATA!$JR$1:$JR$1048576,"*NEED*")</f>
        <v>1</v>
      </c>
      <c r="E47" s="6" t="n">
        <f aca="false">COUNTIFS([1]SurveyDATA!$E$1:$E$1048576,"*BRGY.185*",[1]SurveyDATA!$BS$1:$BS$1048576,"*MIXED*",[1]SurveyDATA!$BT$1:$BT$1048576,"*STRUCTURE OWNER*",[1]SurveyDATA!$A$1:$A$1048576,"LEGAL",[1]SurveyDATA!$JR$1:$JR$1048576,"*STAY*")</f>
        <v>0</v>
      </c>
      <c r="F47" s="6" t="n">
        <f aca="false">COUNTIFS([1]SurveyDATA!$E$1:$E$1048576,"*BRGY.185*",[1]SurveyDATA!$BS$1:$BS$1048576,"*MIXED*",[1]SurveyDATA!$BT$1:$BT$1048576,"*STRUCTURE OWNER*",[1]SurveyDATA!$A$1:$A$1048576,"LEGAL",[1]SurveyDATA!$JR$1:$JR$1048576,"*NEED*")</f>
        <v>0</v>
      </c>
      <c r="G47" s="6" t="n">
        <f aca="false">COUNTIFS([1]SurveyDATA!$E$1:$E$1048576,"*BRGY.185*",[1]SurveyDATA!$BS$1:$BS$1048576,"*COMMERICIAL*",[1]SurveyDATA!$BT$1:$BT$1048576,"*STRUCTURE OWNER*",[1]SurveyDATA!$A$1:$A$1048576,"LEGAL",[1]SurveyDATA!$JR$1:$JR$1048576,"*STAY*")</f>
        <v>0</v>
      </c>
      <c r="H47" s="6" t="n">
        <f aca="false">COUNTIFS([1]SurveyDATA!$E$1:$E$1048576,"*BRGY.185*",[1]SurveyDATA!$BS$1:$BS$1048576,"*COMMERCIAL*",[1]SurveyDATA!$BT$1:$BT$1048576,"*STRUCTURE OWNER*",[1]SurveyDATA!$A$1:$A$1048576,"LEGAL",[1]SurveyDATA!$JR$1:$JR$1048576,"*NEED*")</f>
        <v>0</v>
      </c>
      <c r="I47" s="6" t="n">
        <f aca="false">COUNTIFS([1]SurveyDATA!$E$1:$E$1048576,"*BRGY.185*",[1]SurveyDATA!$BS$1:$BS$1048576,"*INSTITUTIONAL*",[1]SurveyDATA!$BT$1:$BT$1048576,"*STRUCTURE OWNER*",[1]SurveyDATA!$A$1:$A$1048576,"LEGAL",[1]SurveyDATA!$JR$1:$JR$1048576,"*STAY*")</f>
        <v>0</v>
      </c>
      <c r="J47" s="6" t="n">
        <f aca="false">COUNTIFS([1]SurveyDATA!$E$1:$E$1048576,"*BRGY.185*",[1]SurveyDATA!$BS$1:$BS$1048576,"*INSTITUTIONAL*",[1]SurveyDATA!$BT$1:$BT$1048576,"*STRUCTURE OWNER*",[1]SurveyDATA!$A$1:$A$1048576,"LEGAL",[1]SurveyDATA!$JR$1:$JR$1048576,"*NEED*")</f>
        <v>0</v>
      </c>
      <c r="K47" s="6" t="n">
        <f aca="false">COUNTIFS([1]SurveyDATA!$E$1:$E$1048576,"*BRGY.185*",[1]SurveyDATA!$BS$1:$BS$1048576,"RESIDENTIAL*",[1]SurveyDATA!$BT$1:$BT$1048576,"*STRUCTURE RENTER*",[1]SurveyDATA!$A$1:$A$1048576,"LEGAL",[1]SurveyDATA!$JR$1:$JR$1048576,"*STAY*")</f>
        <v>0</v>
      </c>
      <c r="L47" s="6" t="n">
        <f aca="false">COUNTIFS([1]SurveyDATA!$E$1:$E$1048576,"*BRGY.185*",[1]SurveyDATA!$BS$1:$BS$1048576,"RESIDENTIAL*",[1]SurveyDATA!$BT$1:$BT$1048576,"*STRUCTURE RENTER*",[1]SurveyDATA!$A$1:$A$1048576,"LEGAL",[1]SurveyDATA!$JR$1:$JR$1048576,"*NEED*")</f>
        <v>0</v>
      </c>
      <c r="M47" s="6" t="n">
        <f aca="false">COUNTIFS([1]SurveyDATA!$E$1:$E$1048576,"*BRGY.185*",[1]SurveyDATA!$BS$1:$BS$1048576,"RESIDENTIAL*",[1]SurveyDATA!$BT$1:$BT$1048576,"*STRUCTURE OWNER*",[1]SurveyDATA!$A$1:$A$1048576,"LEGAL",[1]SurveyDATA!$JR$1:$JR$1048576,"*STAY*",[1]SurveyDATA!AS$1:AS$1048576,"*ABSENTEE*")</f>
        <v>0</v>
      </c>
      <c r="N47" s="6" t="n">
        <f aca="false">COUNTIFS([1]SurveyDATA!$E$1:$E$1048576,"*BRGY.185*",[1]SurveyDATA!$BS$1:$BS$1048576,"RESIDENTIAL*",[1]SurveyDATA!$BT$1:$BT$1048576,"*STRUCTURE OWNER*",[1]SurveyDATA!$A$1:$A$1048576,"LEGAL",[1]SurveyDATA!$JR$1:$JR$1048576,"*NEED*",[1]SurveyDATA!AS$1:AS$1048576,"*ABSENTEE*")</f>
        <v>0</v>
      </c>
      <c r="O47" s="7" t="e">
        <f aca="false">COUNTIFS([1]surveydata!#ref!,"*LEGAL*",[1]surveydata!#ref!,"*BRGY.185*",[1]SurveyDATA!Q$1:Q$1048576,"LAND OWNER",[1]SurveyDATA!T$1:T$1048576,"&lt;20%",[1]SurveyDATA!AS$1:AS$1048576,"")</f>
        <v>#NAME?</v>
      </c>
      <c r="P47" s="7" t="e">
        <f aca="false">COUNTIFS([1]surveydata!#ref!,"*LEGAL*",[1]surveydata!#ref!,"*BRGY.185*",[1]SurveyDATA!Q$1:Q$1048576,"LAND OWNER",[1]SurveyDATA!T$1:T$1048576,"&gt;20%",[1]SurveyDATA!AS$1:AS$1048576,"")</f>
        <v>#NAME?</v>
      </c>
      <c r="Q47" s="12"/>
      <c r="R47" s="13"/>
      <c r="S47" s="7" t="e">
        <f aca="false">SUM(Q47,O47,M47,K47,I47,G47,K47,E47,C47,)</f>
        <v>#NAME?</v>
      </c>
      <c r="T47" s="7" t="e">
        <f aca="false">SUM(R47,P47,N47,L47,J47,H47,L47,F47,D47,)</f>
        <v>#NAME?</v>
      </c>
    </row>
    <row r="48" customFormat="false" ht="15" hidden="false" customHeight="false" outlineLevel="0" collapsed="false">
      <c r="A48" s="5"/>
      <c r="B48" s="5" t="s">
        <v>61</v>
      </c>
      <c r="C48" s="6" t="n">
        <f aca="false">COUNTIFS([1]SurveyDATA!$E$1:$E$1048576,"*CATMON*",[1]SurveyDATA!$BS$1:$BS$1048576,"*RESIDENTIAL*",[1]SurveyDATA!$BT$1:$BT$1048576,"*STRUCTURE OWNER*",[1]SurveyDATA!$A$1:$A$1048576,"LEGAL",[1]SurveyDATA!$JR$1:$JR$1048576,"*STAY*")</f>
        <v>2</v>
      </c>
      <c r="D48" s="6" t="n">
        <f aca="false">COUNTIFS([1]SurveyDATA!$E$1:$E$1048576,"*CATMON*",[1]SurveyDATA!$BS$1:$BS$1048576,"*RESIDENTIAL*",[1]SurveyDATA!$BT$1:$BT$1048576,"*STRUCTURE OWNER*",[1]SurveyDATA!$A$1:$A$1048576,"LEGAL",[1]SurveyDATA!$JR$1:$JR$1048576,"*NEED*")</f>
        <v>1</v>
      </c>
      <c r="E48" s="6" t="n">
        <f aca="false">COUNTIFS([1]SurveyDATA!$E$1:$E$1048576,"*BRGY.204*",[1]SurveyDATA!$BS$1:$BS$1048576,"*MIXED*",[1]SurveyDATA!$BT$1:$BT$1048576,"*STRUCTURE OWNER*",[1]SurveyDATA!$A$1:$A$1048576,"LEGAL",[1]SurveyDATA!$JR$1:$JR$1048576,"*STAY*")</f>
        <v>0</v>
      </c>
      <c r="F48" s="6" t="n">
        <f aca="false">COUNTIFS([1]SurveyDATA!$E$1:$E$1048576,"*BRGY.204*",[1]SurveyDATA!$BS$1:$BS$1048576,"*MIXED*",[1]SurveyDATA!$BT$1:$BT$1048576,"*STRUCTURE OWNER*",[1]SurveyDATA!$A$1:$A$1048576,"LEGAL",[1]SurveyDATA!$JR$1:$JR$1048576,"*NEED*")</f>
        <v>0</v>
      </c>
      <c r="G48" s="6" t="n">
        <f aca="false">COUNTIFS([1]SurveyDATA!$E$1:$E$1048576,"*BRGY.204*",[1]SurveyDATA!$BS$1:$BS$1048576,"*COMMERICIAL*",[1]SurveyDATA!$BT$1:$BT$1048576,"*STRUCTURE OWNER*",[1]SurveyDATA!$A$1:$A$1048576,"LEGAL",[1]SurveyDATA!$JR$1:$JR$1048576,"*STAY*")</f>
        <v>0</v>
      </c>
      <c r="H48" s="6" t="n">
        <f aca="false">COUNTIFS([1]SurveyDATA!$E$1:$E$1048576,"*BRGY.204*",[1]SurveyDATA!$BS$1:$BS$1048576,"*COMMERCIAL*",[1]SurveyDATA!$BT$1:$BT$1048576,"*STRUCTURE OWNER*",[1]SurveyDATA!$A$1:$A$1048576,"LEGAL",[1]SurveyDATA!$JR$1:$JR$1048576,"*NEED*")</f>
        <v>0</v>
      </c>
      <c r="I48" s="6" t="n">
        <f aca="false">COUNTIFS([1]SurveyDATA!$E$1:$E$1048576,"*BRGY.204*",[1]SurveyDATA!$BS$1:$BS$1048576,"*INSTITUTIONAL*",[1]SurveyDATA!$BT$1:$BT$1048576,"*STRUCTURE OWNER*",[1]SurveyDATA!$A$1:$A$1048576,"LEGAL",[1]SurveyDATA!$JR$1:$JR$1048576,"*STAY*")</f>
        <v>0</v>
      </c>
      <c r="J48" s="6" t="n">
        <f aca="false">COUNTIFS([1]SurveyDATA!$E$1:$E$1048576,"*BRGY.204*",[1]SurveyDATA!$BS$1:$BS$1048576,"*INSTITUTIONAL*",[1]SurveyDATA!$BT$1:$BT$1048576,"*STRUCTURE OWNER*",[1]SurveyDATA!$A$1:$A$1048576,"LEGAL",[1]SurveyDATA!$JR$1:$JR$1048576,"*NEED*")</f>
        <v>0</v>
      </c>
      <c r="K48" s="6" t="n">
        <f aca="false">COUNTIFS([1]SurveyDATA!$E$1:$E$1048576,"*BRGY.204*",[1]SurveyDATA!$BS$1:$BS$1048576,"RESIDENTIAL*",[1]SurveyDATA!$BT$1:$BT$1048576,"*STRUCTURE RENTER*",[1]SurveyDATA!$A$1:$A$1048576,"LEGAL",[1]SurveyDATA!$JR$1:$JR$1048576,"*STAY*")</f>
        <v>0</v>
      </c>
      <c r="L48" s="6" t="n">
        <f aca="false">COUNTIFS([1]SurveyDATA!$E$1:$E$1048576,"*BRGY.204*",[1]SurveyDATA!$BS$1:$BS$1048576,"RESIDENTIAL*",[1]SurveyDATA!$BT$1:$BT$1048576,"*STRUCTURE RENTER*",[1]SurveyDATA!$A$1:$A$1048576,"LEGAL",[1]SurveyDATA!$JR$1:$JR$1048576,"*NEED*")</f>
        <v>0</v>
      </c>
      <c r="M48" s="6" t="n">
        <f aca="false">COUNTIFS([1]SurveyDATA!$E$1:$E$1048576,"*BRGY.204*",[1]SurveyDATA!$BS$1:$BS$1048576,"RESIDENTIAL*",[1]SurveyDATA!$BT$1:$BT$1048576,"*STRUCTURE OWNER*",[1]SurveyDATA!$A$1:$A$1048576,"LEGAL",[1]SurveyDATA!$JR$1:$JR$1048576,"*STAY*",[1]SurveyDATA!AS$1:AS$1048576,"*ABSENTEE*")</f>
        <v>0</v>
      </c>
      <c r="N48" s="6" t="n">
        <f aca="false">COUNTIFS([1]SurveyDATA!$E$1:$E$1048576,"*BRGY.204*",[1]SurveyDATA!$BS$1:$BS$1048576,"RESIDENTIAL*",[1]SurveyDATA!$BT$1:$BT$1048576,"*STRUCTURE OWNER*",[1]SurveyDATA!$A$1:$A$1048576,"LEGAL",[1]SurveyDATA!$JR$1:$JR$1048576,"*NEED*",[1]SurveyDATA!AS$1:AS$1048576,"*ABSENTEE*")</f>
        <v>0</v>
      </c>
      <c r="O48" s="7" t="e">
        <f aca="false">COUNTIFS([1]surveydata!#ref!,"*LEGAL*",[1]surveydata!#ref!,"*BRGY.204*",[1]SurveyDATA!Q$1:Q$1048576,"LAND OWNER",[1]SurveyDATA!T$1:T$1048576,"&lt;20%",[1]SurveyDATA!AS$1:AS$1048576,"")</f>
        <v>#NAME?</v>
      </c>
      <c r="P48" s="7" t="e">
        <f aca="false">COUNTIFS([1]surveydata!#ref!,"*LEGAL*",[1]surveydata!#ref!,"*BRGY.204*",[1]SurveyDATA!Q$1:Q$1048576,"LAND OWNER",[1]SurveyDATA!T$1:T$1048576,"&gt;20%",[1]SurveyDATA!AS$1:AS$1048576,"")</f>
        <v>#NAME?</v>
      </c>
      <c r="Q48" s="12"/>
      <c r="R48" s="13"/>
      <c r="S48" s="7" t="e">
        <f aca="false">SUM(Q48,O48,M48,K48,I48,G48,K48,E48,C48,)</f>
        <v>#NAME?</v>
      </c>
      <c r="T48" s="7" t="e">
        <f aca="false">SUM(R48,P48,N48,L48,J48,H48,L48,F48,D48,)</f>
        <v>#NAME?</v>
      </c>
    </row>
    <row r="49" customFormat="false" ht="15" hidden="false" customHeight="false" outlineLevel="0" collapsed="false">
      <c r="A49" s="5"/>
      <c r="B49" s="5" t="s">
        <v>62</v>
      </c>
      <c r="C49" s="6" t="n">
        <f aca="false">COUNTIFS([1]SurveyDATA!$E$1:$E$1048576,"*CATMON*",[1]SurveyDATA!$BS$1:$BS$1048576,"*RESIDENTIAL*",[1]SurveyDATA!$BT$1:$BT$1048576,"*STRUCTURE OWNER*",[1]SurveyDATA!$A$1:$A$1048576,"LEGAL",[1]SurveyDATA!$JR$1:$JR$1048576,"*STAY*")</f>
        <v>2</v>
      </c>
      <c r="D49" s="6" t="n">
        <f aca="false">COUNTIFS([1]SurveyDATA!$E$1:$E$1048576,"*CATMON*",[1]SurveyDATA!$BS$1:$BS$1048576,"*RESIDENTIAL*",[1]SurveyDATA!$BT$1:$BT$1048576,"*STRUCTURE OWNER*",[1]SurveyDATA!$A$1:$A$1048576,"LEGAL",[1]SurveyDATA!$JR$1:$JR$1048576,"*NEED*")</f>
        <v>1</v>
      </c>
      <c r="E49" s="6" t="n">
        <f aca="false">COUNTIFS([1]SurveyDATA!$E$1:$E$1048576,"*BRGY.165*",[1]SurveyDATA!$BS$1:$BS$1048576,"*MIXED*",[1]SurveyDATA!$BT$1:$BT$1048576,"*STRUCTURE OWNER*",[1]SurveyDATA!$A$1:$A$1048576,"LEGAL",[1]SurveyDATA!$JR$1:$JR$1048576,"*STAY*")</f>
        <v>0</v>
      </c>
      <c r="F49" s="6" t="n">
        <f aca="false">COUNTIFS([1]SurveyDATA!$E$1:$E$1048576,"*BRGY.165*",[1]SurveyDATA!$BS$1:$BS$1048576,"*MIXED*",[1]SurveyDATA!$BT$1:$BT$1048576,"*STRUCTURE OWNER*",[1]SurveyDATA!$A$1:$A$1048576,"LEGAL",[1]SurveyDATA!$JR$1:$JR$1048576,"*NEED*")</f>
        <v>0</v>
      </c>
      <c r="G49" s="6" t="n">
        <f aca="false">COUNTIFS([1]SurveyDATA!$E$1:$E$1048576,"*BRGY.165*",[1]SurveyDATA!$BS$1:$BS$1048576,"*COMMERICIAL*",[1]SurveyDATA!$BT$1:$BT$1048576,"*STRUCTURE OWNER*",[1]SurveyDATA!$A$1:$A$1048576,"LEGAL",[1]SurveyDATA!$JR$1:$JR$1048576,"*STAY*")</f>
        <v>0</v>
      </c>
      <c r="H49" s="6" t="n">
        <f aca="false">COUNTIFS([1]SurveyDATA!$E$1:$E$1048576,"*BRGY.165*",[1]SurveyDATA!$BS$1:$BS$1048576,"*COMMERCIAL*",[1]SurveyDATA!$BT$1:$BT$1048576,"*STRUCTURE OWNER*",[1]SurveyDATA!$A$1:$A$1048576,"LEGAL",[1]SurveyDATA!$JR$1:$JR$1048576,"*NEED*")</f>
        <v>0</v>
      </c>
      <c r="I49" s="6" t="n">
        <f aca="false">COUNTIFS([1]SurveyDATA!$E$1:$E$1048576,"*BRGY.165*",[1]SurveyDATA!$BS$1:$BS$1048576,"*INSTITUTIONAL*",[1]SurveyDATA!$BT$1:$BT$1048576,"*STRUCTURE OWNER*",[1]SurveyDATA!$A$1:$A$1048576,"LEGAL",[1]SurveyDATA!$JR$1:$JR$1048576,"*STAY*")</f>
        <v>0</v>
      </c>
      <c r="J49" s="6" t="n">
        <f aca="false">COUNTIFS([1]SurveyDATA!$E$1:$E$1048576,"*BRGY.165*",[1]SurveyDATA!$BS$1:$BS$1048576,"*INSTITUTIONAL*",[1]SurveyDATA!$BT$1:$BT$1048576,"*STRUCTURE OWNER*",[1]SurveyDATA!$A$1:$A$1048576,"LEGAL",[1]SurveyDATA!$JR$1:$JR$1048576,"*NEED*")</f>
        <v>0</v>
      </c>
      <c r="K49" s="6" t="n">
        <f aca="false">COUNTIFS([1]SurveyDATA!$E$1:$E$1048576,"*BRGY.165*",[1]SurveyDATA!$BS$1:$BS$1048576,"RESIDENTIAL*",[1]SurveyDATA!$BT$1:$BT$1048576,"*STRUCTURE RENTER*",[1]SurveyDATA!$A$1:$A$1048576,"LEGAL",[1]SurveyDATA!$JR$1:$JR$1048576,"*STAY*")</f>
        <v>0</v>
      </c>
      <c r="L49" s="6" t="n">
        <f aca="false">COUNTIFS([1]SurveyDATA!$E$1:$E$1048576,"*BRGY.165*",[1]SurveyDATA!$BS$1:$BS$1048576,"RESIDENTIAL*",[1]SurveyDATA!$BT$1:$BT$1048576,"*STRUCTURE RENTER*",[1]SurveyDATA!$A$1:$A$1048576,"LEGAL",[1]SurveyDATA!$JR$1:$JR$1048576,"*NEED*")</f>
        <v>0</v>
      </c>
      <c r="M49" s="6" t="n">
        <f aca="false">COUNTIFS([1]SurveyDATA!$E$1:$E$1048576,"*BRGY.165*",[1]SurveyDATA!$BS$1:$BS$1048576,"RESIDENTIAL*",[1]SurveyDATA!$BT$1:$BT$1048576,"*STRUCTURE OWNER*",[1]SurveyDATA!$A$1:$A$1048576,"LEGAL",[1]SurveyDATA!$JR$1:$JR$1048576,"*STAY*",[1]SurveyDATA!AS$1:AS$1048576,"*ABSENTEE*")</f>
        <v>0</v>
      </c>
      <c r="N49" s="6" t="n">
        <f aca="false">COUNTIFS([1]SurveyDATA!$E$1:$E$1048576,"*BRGY.165*",[1]SurveyDATA!$BS$1:$BS$1048576,"RESIDENTIAL*",[1]SurveyDATA!$BT$1:$BT$1048576,"*STRUCTURE OWNER*",[1]SurveyDATA!$A$1:$A$1048576,"LEGAL",[1]SurveyDATA!$JR$1:$JR$1048576,"*NEED*",[1]SurveyDATA!AS$1:AS$1048576,"*ABSENTEE*")</f>
        <v>0</v>
      </c>
      <c r="O49" s="7" t="e">
        <f aca="false">COUNTIFS([1]surveydata!#ref!,"*LEGAL*",[1]surveydata!#ref!,"*BRGY.165*",[1]SurveyDATA!Q$1:Q$1048576,"LAND OWNER",[1]SurveyDATA!T$1:T$1048576,"&lt;20%",[1]SurveyDATA!AS$1:AS$1048576,"")</f>
        <v>#NAME?</v>
      </c>
      <c r="P49" s="7" t="e">
        <f aca="false">COUNTIFS([1]surveydata!#ref!,"*LEGAL*",[1]surveydata!#ref!,"*BRGY.165*",[1]SurveyDATA!Q$1:Q$1048576,"LAND OWNER",[1]SurveyDATA!T$1:T$1048576,"&gt;20%",[1]SurveyDATA!AS$1:AS$1048576,"")</f>
        <v>#NAME?</v>
      </c>
      <c r="Q49" s="12"/>
      <c r="R49" s="13"/>
      <c r="S49" s="7" t="e">
        <f aca="false">SUM(Q49,O49,M49,K49,I49,G49,K49,E49,C49,)</f>
        <v>#NAME?</v>
      </c>
      <c r="T49" s="7" t="e">
        <f aca="false">SUM(R49,P49,N49,L49,J49,H49,L49,F49,D49,)</f>
        <v>#NAME?</v>
      </c>
    </row>
    <row r="50" customFormat="false" ht="15" hidden="false" customHeight="false" outlineLevel="0" collapsed="false">
      <c r="A50" s="5"/>
      <c r="B50" s="5" t="s">
        <v>63</v>
      </c>
      <c r="C50" s="6" t="n">
        <f aca="false">COUNTIFS([1]SurveyDATA!$E$1:$E$1048576,"*CATMON*",[1]SurveyDATA!$BS$1:$BS$1048576,"*RESIDENTIAL*",[1]SurveyDATA!$BT$1:$BT$1048576,"*STRUCTURE OWNER*",[1]SurveyDATA!$A$1:$A$1048576,"LEGAL",[1]SurveyDATA!$JR$1:$JR$1048576,"*STAY*")</f>
        <v>2</v>
      </c>
      <c r="D50" s="6" t="n">
        <f aca="false">COUNTIFS([1]SurveyDATA!$E$1:$E$1048576,"*CATMON*",[1]SurveyDATA!$BS$1:$BS$1048576,"*RESIDENTIAL*",[1]SurveyDATA!$BT$1:$BT$1048576,"*STRUCTURE OWNER*",[1]SurveyDATA!$A$1:$A$1048576,"LEGAL",[1]SurveyDATA!$JR$1:$JR$1048576,"*NEED*")</f>
        <v>1</v>
      </c>
      <c r="E50" s="6" t="n">
        <f aca="false">COUNTIFS([1]SurveyDATA!$E$1:$E$1048576,"*BRGY.164*",[1]SurveyDATA!$BS$1:$BS$1048576,"*MIXED*",[1]SurveyDATA!$BT$1:$BT$1048576,"*STRUCTURE OWNER*",[1]SurveyDATA!$A$1:$A$1048576,"LEGAL",[1]SurveyDATA!$JR$1:$JR$1048576,"*STAY*")</f>
        <v>0</v>
      </c>
      <c r="F50" s="6" t="n">
        <f aca="false">COUNTIFS([1]SurveyDATA!$E$1:$E$1048576,"*BRGY.164*",[1]SurveyDATA!$BS$1:$BS$1048576,"*MIXED*",[1]SurveyDATA!$BT$1:$BT$1048576,"*STRUCTURE OWNER*",[1]SurveyDATA!$A$1:$A$1048576,"LEGAL",[1]SurveyDATA!$JR$1:$JR$1048576,"*NEED*")</f>
        <v>0</v>
      </c>
      <c r="G50" s="6" t="n">
        <f aca="false">COUNTIFS([1]SurveyDATA!$E$1:$E$1048576,"*BRGY.164*",[1]SurveyDATA!$BS$1:$BS$1048576,"*COMMERICIAL*",[1]SurveyDATA!$BT$1:$BT$1048576,"*STRUCTURE OWNER*",[1]SurveyDATA!$A$1:$A$1048576,"LEGAL",[1]SurveyDATA!$JR$1:$JR$1048576,"*STAY*")</f>
        <v>0</v>
      </c>
      <c r="H50" s="6" t="n">
        <f aca="false">COUNTIFS([1]SurveyDATA!$E$1:$E$1048576,"*BRGY.164*",[1]SurveyDATA!$BS$1:$BS$1048576,"*COMMERCIAL*",[1]SurveyDATA!$BT$1:$BT$1048576,"*STRUCTURE OWNER*",[1]SurveyDATA!$A$1:$A$1048576,"LEGAL",[1]SurveyDATA!$JR$1:$JR$1048576,"*NEED*")</f>
        <v>0</v>
      </c>
      <c r="I50" s="6" t="n">
        <f aca="false">COUNTIFS([1]SurveyDATA!$E$1:$E$1048576,"*BRGY.164*",[1]SurveyDATA!$BS$1:$BS$1048576,"*INSTITUTIONAL*",[1]SurveyDATA!$BT$1:$BT$1048576,"*STRUCTURE OWNER*",[1]SurveyDATA!$A$1:$A$1048576,"LEGAL",[1]SurveyDATA!$JR$1:$JR$1048576,"*STAY*")</f>
        <v>0</v>
      </c>
      <c r="J50" s="6" t="n">
        <f aca="false">COUNTIFS([1]SurveyDATA!$E$1:$E$1048576,"*BRGY.164*",[1]SurveyDATA!$BS$1:$BS$1048576,"*INSTITUTIONAL*",[1]SurveyDATA!$BT$1:$BT$1048576,"*STRUCTURE OWNER*",[1]SurveyDATA!$A$1:$A$1048576,"LEGAL",[1]SurveyDATA!$JR$1:$JR$1048576,"*NEED*")</f>
        <v>0</v>
      </c>
      <c r="K50" s="6" t="n">
        <f aca="false">COUNTIFS([1]SurveyDATA!$E$1:$E$1048576,"*BRGY.164*",[1]SurveyDATA!$BS$1:$BS$1048576,"RESIDENTIAL*",[1]SurveyDATA!$BT$1:$BT$1048576,"*STRUCTURE RENTER*",[1]SurveyDATA!$A$1:$A$1048576,"LEGAL",[1]SurveyDATA!$JR$1:$JR$1048576,"*STAY*")</f>
        <v>0</v>
      </c>
      <c r="L50" s="6" t="n">
        <f aca="false">COUNTIFS([1]SurveyDATA!$E$1:$E$1048576,"*BRGY.164*",[1]SurveyDATA!$BS$1:$BS$1048576,"RESIDENTIAL*",[1]SurveyDATA!$BT$1:$BT$1048576,"*STRUCTURE RENTER*",[1]SurveyDATA!$A$1:$A$1048576,"LEGAL",[1]SurveyDATA!$JR$1:$JR$1048576,"*NEED*")</f>
        <v>0</v>
      </c>
      <c r="M50" s="6" t="n">
        <f aca="false">COUNTIFS([1]SurveyDATA!$E$1:$E$1048576,"*BRGY.164*",[1]SurveyDATA!$BS$1:$BS$1048576,"RESIDENTIAL*",[1]SurveyDATA!$BT$1:$BT$1048576,"*STRUCTURE OWNER*",[1]SurveyDATA!$A$1:$A$1048576,"LEGAL",[1]SurveyDATA!$JR$1:$JR$1048576,"*STAY*",[1]SurveyDATA!AS$1:AS$1048576,"*ABSENTEE*")</f>
        <v>0</v>
      </c>
      <c r="N50" s="6" t="n">
        <f aca="false">COUNTIFS([1]SurveyDATA!$E$1:$E$1048576,"*BRGY.164*",[1]SurveyDATA!$BS$1:$BS$1048576,"RESIDENTIAL*",[1]SurveyDATA!$BT$1:$BT$1048576,"*STRUCTURE OWNER*",[1]SurveyDATA!$A$1:$A$1048576,"LEGAL",[1]SurveyDATA!$JR$1:$JR$1048576,"*NEED*",[1]SurveyDATA!AS$1:AS$1048576,"*ABSENTEE*")</f>
        <v>0</v>
      </c>
      <c r="O50" s="7" t="e">
        <f aca="false">COUNTIFS([1]surveydata!#ref!,"*LEGAL*",[1]surveydata!#ref!,"*BRGY.164*",[1]SurveyDATA!Q$1:Q$1048576,"LAND OWNER",[1]SurveyDATA!T$1:T$1048576,"&lt;20%",[1]SurveyDATA!AS$1:AS$1048576,"")</f>
        <v>#NAME?</v>
      </c>
      <c r="P50" s="7" t="e">
        <f aca="false">COUNTIFS([1]surveydata!#ref!,"*LEGAL*",[1]surveydata!#ref!,"*BRGY.164*",[1]SurveyDATA!Q$1:Q$1048576,"LAND OWNER",[1]SurveyDATA!T$1:T$1048576,"&gt;20%",[1]SurveyDATA!AS$1:AS$1048576,"")</f>
        <v>#NAME?</v>
      </c>
      <c r="Q50" s="12"/>
      <c r="R50" s="13"/>
      <c r="S50" s="7" t="e">
        <f aca="false">SUM(Q50,O50,M50,K50,I50,G50,K50,E50,C50,)</f>
        <v>#NAME?</v>
      </c>
      <c r="T50" s="7" t="e">
        <f aca="false">SUM(R50,P50,N50,L50,J50,H50,L50,F50,D50,)</f>
        <v>#NAME?</v>
      </c>
    </row>
    <row r="51" customFormat="false" ht="15" hidden="false" customHeight="false" outlineLevel="0" collapsed="false">
      <c r="A51" s="5"/>
      <c r="B51" s="5" t="s">
        <v>64</v>
      </c>
      <c r="C51" s="6" t="n">
        <f aca="false">COUNTIFS([1]SurveyDATA!$E$1:$E$1048576,"*CATMON*",[1]SurveyDATA!$BS$1:$BS$1048576,"*RESIDENTIAL*",[1]SurveyDATA!$BT$1:$BT$1048576,"*STRUCTURE OWNER*",[1]SurveyDATA!$A$1:$A$1048576,"LEGAL",[1]SurveyDATA!$JR$1:$JR$1048576,"*STAY*")</f>
        <v>2</v>
      </c>
      <c r="D51" s="6" t="n">
        <f aca="false">COUNTIFS([1]SurveyDATA!$E$1:$E$1048576,"*CATMON*",[1]SurveyDATA!$BS$1:$BS$1048576,"*RESIDENTIAL*",[1]SurveyDATA!$BT$1:$BT$1048576,"*STRUCTURE OWNER*",[1]SurveyDATA!$A$1:$A$1048576,"LEGAL",[1]SurveyDATA!$JR$1:$JR$1048576,"*NEED*")</f>
        <v>1</v>
      </c>
      <c r="E51" s="6" t="n">
        <f aca="false">COUNTIFS([1]SurveyDATA!$E$1:$E$1048576,"*BRGY.152*",[1]SurveyDATA!$BS$1:$BS$1048576,"*MIXED*",[1]SurveyDATA!$BT$1:$BT$1048576,"*STRUCTURE OWNER*",[1]SurveyDATA!$A$1:$A$1048576,"LEGAL",[1]SurveyDATA!$JR$1:$JR$1048576,"*STAY*")</f>
        <v>0</v>
      </c>
      <c r="F51" s="6" t="n">
        <f aca="false">COUNTIFS([1]SurveyDATA!$E$1:$E$1048576,"*BRGY.152*",[1]SurveyDATA!$BS$1:$BS$1048576,"*MIXED*",[1]SurveyDATA!$BT$1:$BT$1048576,"*STRUCTURE OWNER*",[1]SurveyDATA!$A$1:$A$1048576,"LEGAL",[1]SurveyDATA!$JR$1:$JR$1048576,"*NEED*")</f>
        <v>0</v>
      </c>
      <c r="G51" s="6" t="n">
        <f aca="false">COUNTIFS([1]SurveyDATA!$E$1:$E$1048576,"*BRGY.152*",[1]SurveyDATA!$BS$1:$BS$1048576,"*COMMERICIAL*",[1]SurveyDATA!$BT$1:$BT$1048576,"*STRUCTURE OWNER*",[1]SurveyDATA!$A$1:$A$1048576,"LEGAL",[1]SurveyDATA!$JR$1:$JR$1048576,"*STAY*")</f>
        <v>0</v>
      </c>
      <c r="H51" s="6" t="n">
        <f aca="false">COUNTIFS([1]SurveyDATA!$E$1:$E$1048576,"*BRGY.152*",[1]SurveyDATA!$BS$1:$BS$1048576,"*COMMERCIAL*",[1]SurveyDATA!$BT$1:$BT$1048576,"*STRUCTURE OWNER*",[1]SurveyDATA!$A$1:$A$1048576,"LEGAL",[1]SurveyDATA!$JR$1:$JR$1048576,"*NEED*")</f>
        <v>0</v>
      </c>
      <c r="I51" s="6" t="n">
        <f aca="false">COUNTIFS([1]SurveyDATA!$E$1:$E$1048576,"*BRGY.152*",[1]SurveyDATA!$BS$1:$BS$1048576,"*INSTITUTIONAL*",[1]SurveyDATA!$BT$1:$BT$1048576,"*STRUCTURE OWNER*",[1]SurveyDATA!$A$1:$A$1048576,"LEGAL",[1]SurveyDATA!$JR$1:$JR$1048576,"*STAY*")</f>
        <v>0</v>
      </c>
      <c r="J51" s="6" t="n">
        <f aca="false">COUNTIFS([1]SurveyDATA!$E$1:$E$1048576,"*BRGY.152*",[1]SurveyDATA!$BS$1:$BS$1048576,"*INSTITUTIONAL*",[1]SurveyDATA!$BT$1:$BT$1048576,"*STRUCTURE OWNER*",[1]SurveyDATA!$A$1:$A$1048576,"LEGAL",[1]SurveyDATA!$JR$1:$JR$1048576,"*NEED*")</f>
        <v>0</v>
      </c>
      <c r="K51" s="6" t="n">
        <f aca="false">COUNTIFS([1]SurveyDATA!$E$1:$E$1048576,"*BRGY.152*",[1]SurveyDATA!$BS$1:$BS$1048576,"RESIDENTIAL*",[1]SurveyDATA!$BT$1:$BT$1048576,"*STRUCTURE RENTER*",[1]SurveyDATA!$A$1:$A$1048576,"LEGAL",[1]SurveyDATA!$JR$1:$JR$1048576,"*STAY*")</f>
        <v>0</v>
      </c>
      <c r="L51" s="6" t="n">
        <f aca="false">COUNTIFS([1]SurveyDATA!$E$1:$E$1048576,"*BRGY.152*",[1]SurveyDATA!$BS$1:$BS$1048576,"RESIDENTIAL*",[1]SurveyDATA!$BT$1:$BT$1048576,"*STRUCTURE RENTER*",[1]SurveyDATA!$A$1:$A$1048576,"LEGAL",[1]SurveyDATA!$JR$1:$JR$1048576,"*NEED*")</f>
        <v>0</v>
      </c>
      <c r="M51" s="6" t="n">
        <f aca="false">COUNTIFS([1]SurveyDATA!$E$1:$E$1048576,"*BRGY.152*",[1]SurveyDATA!$BS$1:$BS$1048576,"RESIDENTIAL*",[1]SurveyDATA!$BT$1:$BT$1048576,"*STRUCTURE OWNER*",[1]SurveyDATA!$A$1:$A$1048576,"LEGAL",[1]SurveyDATA!$JR$1:$JR$1048576,"*STAY*",[1]SurveyDATA!AS$1:AS$1048576,"*ABSENTEE*")</f>
        <v>0</v>
      </c>
      <c r="N51" s="6" t="n">
        <f aca="false">COUNTIFS([1]SurveyDATA!$E$1:$E$1048576,"*BRGY.152*",[1]SurveyDATA!$BS$1:$BS$1048576,"RESIDENTIAL*",[1]SurveyDATA!$BT$1:$BT$1048576,"*STRUCTURE OWNER*",[1]SurveyDATA!$A$1:$A$1048576,"LEGAL",[1]SurveyDATA!$JR$1:$JR$1048576,"*NEED*",[1]SurveyDATA!AS$1:AS$1048576,"*ABSENTEE*")</f>
        <v>0</v>
      </c>
      <c r="O51" s="7" t="e">
        <f aca="false">COUNTIFS([1]surveydata!#ref!,"*LEGAL*",[1]surveydata!#ref!,"*BRGY.152*",[1]SurveyDATA!Q$1:Q$1048576,"LAND OWNER",[1]SurveyDATA!T$1:T$1048576,"&lt;20%",[1]SurveyDATA!AS$1:AS$1048576,"")</f>
        <v>#NAME?</v>
      </c>
      <c r="P51" s="7" t="e">
        <f aca="false">COUNTIFS([1]surveydata!#ref!,"*LEGAL*",[1]surveydata!#ref!,"*BRGY.152*",[1]SurveyDATA!Q$1:Q$1048576,"LAND OWNER",[1]SurveyDATA!T$1:T$1048576,"&gt;20%",[1]SurveyDATA!AS$1:AS$1048576,"")</f>
        <v>#NAME?</v>
      </c>
      <c r="Q51" s="12"/>
      <c r="R51" s="13"/>
      <c r="S51" s="7" t="e">
        <f aca="false">SUM(Q51,O51,M51,K51,I51,G51,K51,E51,C51,)</f>
        <v>#NAME?</v>
      </c>
      <c r="T51" s="7" t="e">
        <f aca="false">SUM(R51,P51,N51,L51,J51,H51,L51,F51,D51,)</f>
        <v>#NAME?</v>
      </c>
    </row>
    <row r="52" customFormat="false" ht="15" hidden="false" customHeight="false" outlineLevel="0" collapsed="false">
      <c r="A52" s="5"/>
      <c r="B52" s="5" t="s">
        <v>65</v>
      </c>
      <c r="C52" s="6" t="n">
        <f aca="false">COUNTIFS([1]SurveyDATA!$E$1:$E$1048576,"*CATMON*",[1]SurveyDATA!$BS$1:$BS$1048576,"*RESIDENTIAL*",[1]SurveyDATA!$BT$1:$BT$1048576,"*STRUCTURE OWNER*",[1]SurveyDATA!$A$1:$A$1048576,"LEGAL",[1]SurveyDATA!$JR$1:$JR$1048576,"*STAY*")</f>
        <v>2</v>
      </c>
      <c r="D52" s="6" t="n">
        <f aca="false">COUNTIFS([1]SurveyDATA!$E$1:$E$1048576,"*CATMON*",[1]SurveyDATA!$BS$1:$BS$1048576,"*RESIDENTIAL*",[1]SurveyDATA!$BT$1:$BT$1048576,"*STRUCTURE OWNER*",[1]SurveyDATA!$A$1:$A$1048576,"LEGAL",[1]SurveyDATA!$JR$1:$JR$1048576,"*NEED*")</f>
        <v>1</v>
      </c>
      <c r="E52" s="6" t="n">
        <f aca="false">COUNTIFS([1]SurveyDATA!$E$1:$E$1048576,"*BRGY.155*",[1]SurveyDATA!$BS$1:$BS$1048576,"*MIXED*",[1]SurveyDATA!$BT$1:$BT$1048576,"*STRUCTURE OWNER*",[1]SurveyDATA!$A$1:$A$1048576,"LEGAL",[1]SurveyDATA!$JR$1:$JR$1048576,"*STAY*")</f>
        <v>0</v>
      </c>
      <c r="F52" s="6" t="n">
        <f aca="false">COUNTIFS([1]SurveyDATA!$E$1:$E$1048576,"*BRGY.155*",[1]SurveyDATA!$BS$1:$BS$1048576,"*MIXED*",[1]SurveyDATA!$BT$1:$BT$1048576,"*STRUCTURE OWNER*",[1]SurveyDATA!$A$1:$A$1048576,"LEGAL",[1]SurveyDATA!$JR$1:$JR$1048576,"*NEED*")</f>
        <v>0</v>
      </c>
      <c r="G52" s="6" t="n">
        <f aca="false">COUNTIFS([1]SurveyDATA!$E$1:$E$1048576,"*BRGY.155*",[1]SurveyDATA!$BS$1:$BS$1048576,"*COMMERICIAL*",[1]SurveyDATA!$BT$1:$BT$1048576,"*STRUCTURE OWNER*",[1]SurveyDATA!$A$1:$A$1048576,"LEGAL",[1]SurveyDATA!$JR$1:$JR$1048576,"*STAY*")</f>
        <v>0</v>
      </c>
      <c r="H52" s="6" t="n">
        <f aca="false">COUNTIFS([1]SurveyDATA!$E$1:$E$1048576,"*BRGY.155*",[1]SurveyDATA!$BS$1:$BS$1048576,"*COMMERCIAL*",[1]SurveyDATA!$BT$1:$BT$1048576,"*STRUCTURE OWNER*",[1]SurveyDATA!$A$1:$A$1048576,"LEGAL",[1]SurveyDATA!$JR$1:$JR$1048576,"*NEED*")</f>
        <v>0</v>
      </c>
      <c r="I52" s="6" t="n">
        <f aca="false">COUNTIFS([1]SurveyDATA!$E$1:$E$1048576,"*BRGY.155*",[1]SurveyDATA!$BS$1:$BS$1048576,"*INSTITUTIONAL*",[1]SurveyDATA!$BT$1:$BT$1048576,"*STRUCTURE OWNER*",[1]SurveyDATA!$A$1:$A$1048576,"LEGAL",[1]SurveyDATA!$JR$1:$JR$1048576,"*STAY*")</f>
        <v>0</v>
      </c>
      <c r="J52" s="6" t="n">
        <f aca="false">COUNTIFS([1]SurveyDATA!$E$1:$E$1048576,"*BRGY.155*",[1]SurveyDATA!$BS$1:$BS$1048576,"*INSTITUTIONAL*",[1]SurveyDATA!$BT$1:$BT$1048576,"*STRUCTURE OWNER*",[1]SurveyDATA!$A$1:$A$1048576,"LEGAL",[1]SurveyDATA!$JR$1:$JR$1048576,"*NEED*")</f>
        <v>0</v>
      </c>
      <c r="K52" s="6" t="n">
        <f aca="false">COUNTIFS([1]SurveyDATA!$E$1:$E$1048576,"*BRGY.155*",[1]SurveyDATA!$BS$1:$BS$1048576,"RESIDENTIAL*",[1]SurveyDATA!$BT$1:$BT$1048576,"*STRUCTURE RENTER*",[1]SurveyDATA!$A$1:$A$1048576,"LEGAL",[1]SurveyDATA!$JR$1:$JR$1048576,"*STAY*")</f>
        <v>0</v>
      </c>
      <c r="L52" s="6" t="n">
        <f aca="false">COUNTIFS([1]SurveyDATA!$E$1:$E$1048576,"*BRGY.155*",[1]SurveyDATA!$BS$1:$BS$1048576,"RESIDENTIAL*",[1]SurveyDATA!$BT$1:$BT$1048576,"*STRUCTURE RENTER*",[1]SurveyDATA!$A$1:$A$1048576,"LEGAL",[1]SurveyDATA!$JR$1:$JR$1048576,"*NEED*")</f>
        <v>0</v>
      </c>
      <c r="M52" s="6" t="n">
        <f aca="false">COUNTIFS([1]SurveyDATA!$E$1:$E$1048576,"*BRGY.155*",[1]SurveyDATA!$BS$1:$BS$1048576,"RESIDENTIAL*",[1]SurveyDATA!$BT$1:$BT$1048576,"*STRUCTURE OWNER*",[1]SurveyDATA!$A$1:$A$1048576,"LEGAL",[1]SurveyDATA!$JR$1:$JR$1048576,"*STAY*",[1]SurveyDATA!AS$1:AS$1048576,"*ABSENTEE*")</f>
        <v>0</v>
      </c>
      <c r="N52" s="6" t="n">
        <f aca="false">COUNTIFS([1]SurveyDATA!$E$1:$E$1048576,"*BRGY.155*",[1]SurveyDATA!$BS$1:$BS$1048576,"RESIDENTIAL*",[1]SurveyDATA!$BT$1:$BT$1048576,"*STRUCTURE OWNER*",[1]SurveyDATA!$A$1:$A$1048576,"LEGAL",[1]SurveyDATA!$JR$1:$JR$1048576,"*NEED*",[1]SurveyDATA!AS$1:AS$1048576,"*ABSENTEE*")</f>
        <v>0</v>
      </c>
      <c r="O52" s="7" t="e">
        <f aca="false">COUNTIFS([1]surveydata!#ref!,"*LEGAL*",[1]surveydata!#ref!,"*BRGY.155*",[1]SurveyDATA!Q$1:Q$1048576,"LAND OWNER",[1]SurveyDATA!T$1:T$1048576,"&lt;20%",[1]SurveyDATA!AS$1:AS$1048576,"")</f>
        <v>#NAME?</v>
      </c>
      <c r="P52" s="7" t="e">
        <f aca="false">COUNTIFS([1]surveydata!#ref!,"*LEGAL*",[1]surveydata!#ref!,"*BRGY.155*",[1]SurveyDATA!Q$1:Q$1048576,"LAND OWNER",[1]SurveyDATA!T$1:T$1048576,"&gt;20%",[1]SurveyDATA!AS$1:AS$1048576,"")</f>
        <v>#NAME?</v>
      </c>
      <c r="Q52" s="12"/>
      <c r="R52" s="13"/>
      <c r="S52" s="7" t="e">
        <f aca="false">SUM(Q52,O52,M52,K52,I52,G52,K52,E52,C52,)</f>
        <v>#NAME?</v>
      </c>
      <c r="T52" s="7" t="e">
        <f aca="false">SUM(R52,P52,N52,L52,J52,H52,L52,F52,D52,)</f>
        <v>#NAME?</v>
      </c>
    </row>
    <row r="53" customFormat="false" ht="15" hidden="false" customHeight="false" outlineLevel="0" collapsed="false">
      <c r="A53" s="5"/>
      <c r="B53" s="5" t="s">
        <v>66</v>
      </c>
      <c r="C53" s="6" t="n">
        <f aca="false">COUNTIFS([1]SurveyDATA!$E$1:$E$1048576,"*CATMON*",[1]SurveyDATA!$BS$1:$BS$1048576,"*RESIDENTIAL*",[1]SurveyDATA!$BT$1:$BT$1048576,"*STRUCTURE OWNER*",[1]SurveyDATA!$A$1:$A$1048576,"LEGAL",[1]SurveyDATA!$JR$1:$JR$1048576,"*STAY*")</f>
        <v>2</v>
      </c>
      <c r="D53" s="6" t="n">
        <f aca="false">COUNTIFS([1]SurveyDATA!$E$1:$E$1048576,"*CATMON*",[1]SurveyDATA!$BS$1:$BS$1048576,"*RESIDENTIAL*",[1]SurveyDATA!$BT$1:$BT$1048576,"*STRUCTURE OWNER*",[1]SurveyDATA!$A$1:$A$1048576,"LEGAL",[1]SurveyDATA!$JR$1:$JR$1048576,"*NEED*")</f>
        <v>1</v>
      </c>
      <c r="E53" s="6" t="n">
        <f aca="false">COUNTIFS([1]SurveyDATA!$E$1:$E$1048576,"*BRGY.159*",[1]SurveyDATA!$BS$1:$BS$1048576,"*MIXED*",[1]SurveyDATA!$BT$1:$BT$1048576,"*STRUCTURE OWNER*",[1]SurveyDATA!$A$1:$A$1048576,"LEGAL",[1]SurveyDATA!$JR$1:$JR$1048576,"*STAY*")</f>
        <v>0</v>
      </c>
      <c r="F53" s="6" t="n">
        <f aca="false">COUNTIFS([1]SurveyDATA!$E$1:$E$1048576,"*BRGY.159*",[1]SurveyDATA!$BS$1:$BS$1048576,"*MIXED*",[1]SurveyDATA!$BT$1:$BT$1048576,"*STRUCTURE OWNER*",[1]SurveyDATA!$A$1:$A$1048576,"LEGAL",[1]SurveyDATA!$JR$1:$JR$1048576,"*NEED*")</f>
        <v>0</v>
      </c>
      <c r="G53" s="6" t="n">
        <f aca="false">COUNTIFS([1]SurveyDATA!$E$1:$E$1048576,"*BRGY.159*",[1]SurveyDATA!$BS$1:$BS$1048576,"*COMMERICIAL*",[1]SurveyDATA!$BT$1:$BT$1048576,"*STRUCTURE OWNER*",[1]SurveyDATA!$A$1:$A$1048576,"LEGAL",[1]SurveyDATA!$JR$1:$JR$1048576,"*STAY*")</f>
        <v>0</v>
      </c>
      <c r="H53" s="6" t="n">
        <f aca="false">COUNTIFS([1]SurveyDATA!$E$1:$E$1048576,"*BRGY.159*",[1]SurveyDATA!$BS$1:$BS$1048576,"*COMMERCIAL*",[1]SurveyDATA!$BT$1:$BT$1048576,"*STRUCTURE OWNER*",[1]SurveyDATA!$A$1:$A$1048576,"LEGAL",[1]SurveyDATA!$JR$1:$JR$1048576,"*NEED*")</f>
        <v>0</v>
      </c>
      <c r="I53" s="6" t="n">
        <f aca="false">COUNTIFS([1]SurveyDATA!$E$1:$E$1048576,"*BRGY.159*",[1]SurveyDATA!$BS$1:$BS$1048576,"*INSTITUTIONAL*",[1]SurveyDATA!$BT$1:$BT$1048576,"*STRUCTURE OWNER*",[1]SurveyDATA!$A$1:$A$1048576,"LEGAL",[1]SurveyDATA!$JR$1:$JR$1048576,"*STAY*")</f>
        <v>0</v>
      </c>
      <c r="J53" s="6" t="n">
        <f aca="false">COUNTIFS([1]SurveyDATA!$E$1:$E$1048576,"*BRGY.159*",[1]SurveyDATA!$BS$1:$BS$1048576,"*INSTITUTIONAL*",[1]SurveyDATA!$BT$1:$BT$1048576,"*STRUCTURE OWNER*",[1]SurveyDATA!$A$1:$A$1048576,"LEGAL",[1]SurveyDATA!$JR$1:$JR$1048576,"*NEED*")</f>
        <v>0</v>
      </c>
      <c r="K53" s="6" t="n">
        <f aca="false">COUNTIFS([1]SurveyDATA!$E$1:$E$1048576,"*BRGY.159*",[1]SurveyDATA!$BS$1:$BS$1048576,"RESIDENTIAL*",[1]SurveyDATA!$BT$1:$BT$1048576,"*STRUCTURE RENTER*",[1]SurveyDATA!$A$1:$A$1048576,"LEGAL",[1]SurveyDATA!$JR$1:$JR$1048576,"*STAY*")</f>
        <v>0</v>
      </c>
      <c r="L53" s="6" t="n">
        <f aca="false">COUNTIFS([1]SurveyDATA!$E$1:$E$1048576,"*BRGY.159*",[1]SurveyDATA!$BS$1:$BS$1048576,"RESIDENTIAL*",[1]SurveyDATA!$BT$1:$BT$1048576,"*STRUCTURE RENTER*",[1]SurveyDATA!$A$1:$A$1048576,"LEGAL",[1]SurveyDATA!$JR$1:$JR$1048576,"*NEED*")</f>
        <v>0</v>
      </c>
      <c r="M53" s="6" t="n">
        <f aca="false">COUNTIFS([1]SurveyDATA!$E$1:$E$1048576,"*BRGY.159*",[1]SurveyDATA!$BS$1:$BS$1048576,"RESIDENTIAL*",[1]SurveyDATA!$BT$1:$BT$1048576,"*STRUCTURE OWNER*",[1]SurveyDATA!$A$1:$A$1048576,"LEGAL",[1]SurveyDATA!$JR$1:$JR$1048576,"*STAY*",[1]SurveyDATA!AS$1:AS$1048576,"*ABSENTEE*")</f>
        <v>0</v>
      </c>
      <c r="N53" s="6" t="n">
        <f aca="false">COUNTIFS([1]SurveyDATA!$E$1:$E$1048576,"*BRGY.159*",[1]SurveyDATA!$BS$1:$BS$1048576,"RESIDENTIAL*",[1]SurveyDATA!$BT$1:$BT$1048576,"*STRUCTURE OWNER*",[1]SurveyDATA!$A$1:$A$1048576,"LEGAL",[1]SurveyDATA!$JR$1:$JR$1048576,"*NEED*",[1]SurveyDATA!AS$1:AS$1048576,"*ABSENTEE*")</f>
        <v>0</v>
      </c>
      <c r="O53" s="7" t="e">
        <f aca="false">COUNTIFS([1]surveydata!#ref!,"*LEGAL*",[1]surveydata!#ref!,"*BRGY.159*",[1]SurveyDATA!Q$1:Q$1048576,"LAND OWNER",[1]SurveyDATA!T$1:T$1048576,"&lt;20%",[1]SurveyDATA!AS$1:AS$1048576,"")</f>
        <v>#NAME?</v>
      </c>
      <c r="P53" s="7" t="e">
        <f aca="false">COUNTIFS([1]surveydata!#ref!,"*LEGAL*",[1]surveydata!#ref!,"*BRGY.159*",[1]SurveyDATA!Q$1:Q$1048576,"LAND OWNER",[1]SurveyDATA!T$1:T$1048576,"&gt;20%",[1]SurveyDATA!AS$1:AS$1048576,"")</f>
        <v>#NAME?</v>
      </c>
      <c r="Q53" s="12"/>
      <c r="R53" s="13"/>
      <c r="S53" s="7" t="e">
        <f aca="false">SUM(Q53,O53,M53,K53,I53,G53,K53,E53,C53,)</f>
        <v>#NAME?</v>
      </c>
      <c r="T53" s="7" t="e">
        <f aca="false">SUM(R53,P53,N53,L53,J53,H53,L53,F53,D53,)</f>
        <v>#NAME?</v>
      </c>
    </row>
    <row r="54" customFormat="false" ht="15" hidden="false" customHeight="false" outlineLevel="0" collapsed="false">
      <c r="A54" s="5"/>
      <c r="B54" s="5" t="s">
        <v>67</v>
      </c>
      <c r="C54" s="6" t="n">
        <f aca="false">COUNTIFS([1]SurveyDATA!$E$1:$E$1048576,"*CATMON*",[1]SurveyDATA!$BS$1:$BS$1048576,"*RESIDENTIAL*",[1]SurveyDATA!$BT$1:$BT$1048576,"*STRUCTURE OWNER*",[1]SurveyDATA!$A$1:$A$1048576,"LEGAL",[1]SurveyDATA!$JR$1:$JR$1048576,"*STAY*")</f>
        <v>2</v>
      </c>
      <c r="D54" s="6" t="n">
        <f aca="false">COUNTIFS([1]SurveyDATA!$E$1:$E$1048576,"*CATMON*",[1]SurveyDATA!$BS$1:$BS$1048576,"*RESIDENTIAL*",[1]SurveyDATA!$BT$1:$BT$1048576,"*STRUCTURE OWNER*",[1]SurveyDATA!$A$1:$A$1048576,"LEGAL",[1]SurveyDATA!$JR$1:$JR$1048576,"*NEED*")</f>
        <v>1</v>
      </c>
      <c r="E54" s="6" t="n">
        <f aca="false">COUNTIFS([1]SurveyDATA!$E$1:$E$1048576,"*BRGY.159*",[1]SurveyDATA!$BS$1:$BS$1048576,"*MIXED*",[1]SurveyDATA!$BT$1:$BT$1048576,"*STRUCTURE OWNER*",[1]SurveyDATA!$A$1:$A$1048576,"LEGAL",[1]SurveyDATA!$JR$1:$JR$1048576,"*STAY*")</f>
        <v>0</v>
      </c>
      <c r="F54" s="6" t="n">
        <f aca="false">COUNTIFS([1]SurveyDATA!$E$1:$E$1048576,"*BRGY.159*",[1]SurveyDATA!$BS$1:$BS$1048576,"*MIXED*",[1]SurveyDATA!$BT$1:$BT$1048576,"*STRUCTURE OWNER*",[1]SurveyDATA!$A$1:$A$1048576,"LEGAL",[1]SurveyDATA!$JR$1:$JR$1048576,"*NEED*")</f>
        <v>0</v>
      </c>
      <c r="G54" s="6" t="n">
        <f aca="false">COUNTIFS([1]SurveyDATA!$E$1:$E$1048576,"*BRGY.159*",[1]SurveyDATA!$BS$1:$BS$1048576,"*COMMERICIAL*",[1]SurveyDATA!$BT$1:$BT$1048576,"*STRUCTURE OWNER*",[1]SurveyDATA!$A$1:$A$1048576,"LEGAL",[1]SurveyDATA!$JR$1:$JR$1048576,"*STAY*")</f>
        <v>0</v>
      </c>
      <c r="H54" s="6" t="n">
        <f aca="false">COUNTIFS([1]SurveyDATA!$E$1:$E$1048576,"*BRGY.159*",[1]SurveyDATA!$BS$1:$BS$1048576,"*COMMERCIAL*",[1]SurveyDATA!$BT$1:$BT$1048576,"*STRUCTURE OWNER*",[1]SurveyDATA!$A$1:$A$1048576,"LEGAL",[1]SurveyDATA!$JR$1:$JR$1048576,"*NEED*")</f>
        <v>0</v>
      </c>
      <c r="I54" s="6" t="n">
        <f aca="false">COUNTIFS([1]SurveyDATA!$E$1:$E$1048576,"*BRGY.159*",[1]SurveyDATA!$BS$1:$BS$1048576,"*INSTITUTIONAL*",[1]SurveyDATA!$BT$1:$BT$1048576,"*STRUCTURE OWNER*",[1]SurveyDATA!$A$1:$A$1048576,"LEGAL",[1]SurveyDATA!$JR$1:$JR$1048576,"*STAY*")</f>
        <v>0</v>
      </c>
      <c r="J54" s="6" t="n">
        <f aca="false">COUNTIFS([1]SurveyDATA!$E$1:$E$1048576,"*BRGY.159*",[1]SurveyDATA!$BS$1:$BS$1048576,"*INSTITUTIONAL*",[1]SurveyDATA!$BT$1:$BT$1048576,"*STRUCTURE OWNER*",[1]SurveyDATA!$A$1:$A$1048576,"LEGAL",[1]SurveyDATA!$JR$1:$JR$1048576,"*NEED*")</f>
        <v>0</v>
      </c>
      <c r="K54" s="6" t="n">
        <f aca="false">COUNTIFS([1]SurveyDATA!$E$1:$E$1048576,"*BRGY.159*",[1]SurveyDATA!$BS$1:$BS$1048576,"RESIDENTIAL*",[1]SurveyDATA!$BT$1:$BT$1048576,"*STRUCTURE RENTER*",[1]SurveyDATA!$A$1:$A$1048576,"LEGAL",[1]SurveyDATA!$JR$1:$JR$1048576,"*STAY*")</f>
        <v>0</v>
      </c>
      <c r="L54" s="6" t="n">
        <f aca="false">COUNTIFS([1]SurveyDATA!$E$1:$E$1048576,"*BRGY.159*",[1]SurveyDATA!$BS$1:$BS$1048576,"RESIDENTIAL*",[1]SurveyDATA!$BT$1:$BT$1048576,"*STRUCTURE RENTER*",[1]SurveyDATA!$A$1:$A$1048576,"LEGAL",[1]SurveyDATA!$JR$1:$JR$1048576,"*NEED*")</f>
        <v>0</v>
      </c>
      <c r="M54" s="6" t="n">
        <f aca="false">COUNTIFS([1]SurveyDATA!$E$1:$E$1048576,"*BRGY.156*",[1]SurveyDATA!$BS$1:$BS$1048576,"RESIDENTIAL*",[1]SurveyDATA!$BT$1:$BT$1048576,"*STRUCTURE OWNER*",[1]SurveyDATA!$A$1:$A$1048576,"LEGAL",[1]SurveyDATA!$JR$1:$JR$1048576,"*STAY*",[1]SurveyDATA!AS$1:AS$1048576,"*ABSENTEE*")</f>
        <v>0</v>
      </c>
      <c r="N54" s="6" t="n">
        <f aca="false">COUNTIFS([1]SurveyDATA!$E$1:$E$1048576,"*BRGY.156*",[1]SurveyDATA!$BS$1:$BS$1048576,"RESIDENTIAL*",[1]SurveyDATA!$BT$1:$BT$1048576,"*STRUCTURE OWNER*",[1]SurveyDATA!$A$1:$A$1048576,"LEGAL",[1]SurveyDATA!$JR$1:$JR$1048576,"*NEED*",[1]SurveyDATA!AS$1:AS$1048576,"*ABSENTEE*")</f>
        <v>0</v>
      </c>
      <c r="O54" s="7" t="e">
        <f aca="false">COUNTIFS([1]surveydata!#ref!,"*LEGAL*",[1]surveydata!#ref!,"*BRGY.156*",[1]SurveyDATA!Q$1:Q$1048576,"LAND OWNER",[1]SurveyDATA!T$1:T$1048576,"&lt;20%",[1]SurveyDATA!AS$1:AS$1048576,"")</f>
        <v>#NAME?</v>
      </c>
      <c r="P54" s="7" t="e">
        <f aca="false">COUNTIFS([1]surveydata!#ref!,"*LEGAL*",[1]surveydata!#ref!,"*BRGY.156*",[1]SurveyDATA!Q$1:Q$1048576,"LAND OWNER",[1]SurveyDATA!T$1:T$1048576,"&gt;20%",[1]SurveyDATA!AS$1:AS$1048576,"")</f>
        <v>#NAME?</v>
      </c>
      <c r="Q54" s="12"/>
      <c r="R54" s="13"/>
      <c r="S54" s="7" t="e">
        <f aca="false">SUM(Q54,O54,M54,K54,I54,G54,K54,E54,C54,)</f>
        <v>#NAME?</v>
      </c>
      <c r="T54" s="7" t="e">
        <f aca="false">SUM(R54,P54,N54,L54,J54,H54,L54,F54,D54,)</f>
        <v>#NAME?</v>
      </c>
    </row>
    <row r="55" customFormat="false" ht="15" hidden="false" customHeight="false" outlineLevel="0" collapsed="false">
      <c r="A55" s="5"/>
      <c r="B55" s="5" t="s">
        <v>68</v>
      </c>
      <c r="C55" s="6" t="n">
        <f aca="false">COUNTIFS([1]SurveyDATA!$E$1:$E$1048576,"*CATMON*",[1]SurveyDATA!$BS$1:$BS$1048576,"*RESIDENTIAL*",[1]SurveyDATA!$BT$1:$BT$1048576,"*STRUCTURE OWNER*",[1]SurveyDATA!$A$1:$A$1048576,"LEGAL",[1]SurveyDATA!$JR$1:$JR$1048576,"*STAY*")</f>
        <v>2</v>
      </c>
      <c r="D55" s="6" t="n">
        <f aca="false">COUNTIFS([1]SurveyDATA!$E$1:$E$1048576,"*CATMON*",[1]SurveyDATA!$BS$1:$BS$1048576,"*RESIDENTIAL*",[1]SurveyDATA!$BT$1:$BT$1048576,"*STRUCTURE OWNER*",[1]SurveyDATA!$A$1:$A$1048576,"LEGAL",[1]SurveyDATA!$JR$1:$JR$1048576,"*NEED*")</f>
        <v>1</v>
      </c>
      <c r="E55" s="6" t="n">
        <f aca="false">COUNTIFS([1]SurveyDATA!$E$1:$E$1048576,"*BRGY.53*",[1]SurveyDATA!$BS$1:$BS$1048576,"*MIXED*",[1]SurveyDATA!$BT$1:$BT$1048576,"*STRUCTURE OWNER*",[1]SurveyDATA!$A$1:$A$1048576,"LEGAL",[1]SurveyDATA!$JR$1:$JR$1048576,"*STAY*")</f>
        <v>0</v>
      </c>
      <c r="F55" s="6" t="n">
        <f aca="false">COUNTIFS([1]SurveyDATA!$E$1:$E$1048576,"*BRGY.53*",[1]SurveyDATA!$BS$1:$BS$1048576,"*MIXED*",[1]SurveyDATA!$BT$1:$BT$1048576,"*STRUCTURE OWNER*",[1]SurveyDATA!$A$1:$A$1048576,"LEGAL",[1]SurveyDATA!$JR$1:$JR$1048576,"*NEED*")</f>
        <v>0</v>
      </c>
      <c r="G55" s="6" t="n">
        <f aca="false">COUNTIFS([1]SurveyDATA!$E$1:$E$1048576,"*BRGY.53*",[1]SurveyDATA!$BS$1:$BS$1048576,"*COMMERICIAL*",[1]SurveyDATA!$BT$1:$BT$1048576,"*STRUCTURE OWNER*",[1]SurveyDATA!$A$1:$A$1048576,"LEGAL",[1]SurveyDATA!$JR$1:$JR$1048576,"*STAY*")</f>
        <v>0</v>
      </c>
      <c r="H55" s="6" t="n">
        <f aca="false">COUNTIFS([1]SurveyDATA!$E$1:$E$1048576,"*BRGY.53*",[1]SurveyDATA!$BS$1:$BS$1048576,"*COMMERCIAL*",[1]SurveyDATA!$BT$1:$BT$1048576,"*STRUCTURE OWNER*",[1]SurveyDATA!$A$1:$A$1048576,"LEGAL",[1]SurveyDATA!$JR$1:$JR$1048576,"*NEED*")</f>
        <v>0</v>
      </c>
      <c r="I55" s="6" t="n">
        <f aca="false">COUNTIFS([1]SurveyDATA!$E$1:$E$1048576,"*BRGY.53*",[1]SurveyDATA!$BS$1:$BS$1048576,"*INSTITUTIONAL*",[1]SurveyDATA!$BT$1:$BT$1048576,"*STRUCTURE OWNER*",[1]SurveyDATA!$A$1:$A$1048576,"LEGAL",[1]SurveyDATA!$JR$1:$JR$1048576,"*STAY*")</f>
        <v>0</v>
      </c>
      <c r="J55" s="6" t="n">
        <f aca="false">COUNTIFS([1]SurveyDATA!$E$1:$E$1048576,"*BRGY.53*",[1]SurveyDATA!$BS$1:$BS$1048576,"*INSTITUTIONAL*",[1]SurveyDATA!$BT$1:$BT$1048576,"*STRUCTURE OWNER*",[1]SurveyDATA!$A$1:$A$1048576,"LEGAL",[1]SurveyDATA!$JR$1:$JR$1048576,"*NEED*")</f>
        <v>0</v>
      </c>
      <c r="K55" s="6" t="n">
        <f aca="false">COUNTIFS([1]SurveyDATA!$E$1:$E$1048576,"*BRGY.53*",[1]SurveyDATA!$BS$1:$BS$1048576,"RESIDENTIAL*",[1]SurveyDATA!$BT$1:$BT$1048576,"*STRUCTURE RENTER*",[1]SurveyDATA!$A$1:$A$1048576,"LEGAL",[1]SurveyDATA!$JR$1:$JR$1048576,"*STAY*")</f>
        <v>0</v>
      </c>
      <c r="L55" s="6" t="n">
        <f aca="false">COUNTIFS([1]SurveyDATA!$E$1:$E$1048576,"*BRGY.53*",[1]SurveyDATA!$BS$1:$BS$1048576,"RESIDENTIAL*",[1]SurveyDATA!$BT$1:$BT$1048576,"*STRUCTURE RENTER*",[1]SurveyDATA!$A$1:$A$1048576,"LEGAL",[1]SurveyDATA!$JR$1:$JR$1048576,"*NEED*")</f>
        <v>0</v>
      </c>
      <c r="M55" s="6" t="n">
        <f aca="false">COUNTIFS([1]SurveyDATA!$E$1:$E$1048576,"*BRGY.53*",[1]SurveyDATA!$BS$1:$BS$1048576,"RESIDENTIAL*",[1]SurveyDATA!$BT$1:$BT$1048576,"*STRUCTURE OWNER*",[1]SurveyDATA!$A$1:$A$1048576,"LEGAL",[1]SurveyDATA!$JR$1:$JR$1048576,"*STAY*",[1]SurveyDATA!AS$1:AS$1048576,"*ABSENTEE*")</f>
        <v>0</v>
      </c>
      <c r="N55" s="6" t="n">
        <f aca="false">COUNTIFS([1]SurveyDATA!$E$1:$E$1048576,"*BRGY.53*",[1]SurveyDATA!$BS$1:$BS$1048576,"RESIDENTIAL*",[1]SurveyDATA!$BT$1:$BT$1048576,"*STRUCTURE OWNER*",[1]SurveyDATA!$A$1:$A$1048576,"LEGAL",[1]SurveyDATA!$JR$1:$JR$1048576,"*NEED*",[1]SurveyDATA!AS$1:AS$1048576,"*ABSENTEE*")</f>
        <v>0</v>
      </c>
      <c r="O55" s="7" t="e">
        <f aca="false">COUNTIFS([1]surveydata!#ref!,"*LEGAL*",[1]surveydata!#ref!,"*BRGY.53*",[1]SurveyDATA!Q$1:Q$1048576,"LAND OWNER",[1]SurveyDATA!T$1:T$1048576,"&lt;20%",[1]SurveyDATA!AS$1:AS$1048576,"")</f>
        <v>#NAME?</v>
      </c>
      <c r="P55" s="7" t="e">
        <f aca="false">COUNTIFS([1]surveydata!#ref!,"*LEGAL*",[1]surveydata!#ref!,"*BRGY.53*",[1]SurveyDATA!Q$1:Q$1048576,"LAND OWNER",[1]SurveyDATA!T$1:T$1048576,"&gt;20%",[1]SurveyDATA!AS$1:AS$1048576,"")</f>
        <v>#NAME?</v>
      </c>
      <c r="Q55" s="12"/>
      <c r="R55" s="13"/>
      <c r="S55" s="7" t="e">
        <f aca="false">SUM(Q55,O55,M55,K55,I55,G55,K55,E55,C55,)</f>
        <v>#NAME?</v>
      </c>
      <c r="T55" s="7" t="e">
        <f aca="false">SUM(R55,P55,N55,L55,J55,H55,L55,F55,D55,)</f>
        <v>#NAME?</v>
      </c>
    </row>
    <row r="56" customFormat="false" ht="15" hidden="false" customHeight="false" outlineLevel="0" collapsed="false">
      <c r="A56" s="5"/>
      <c r="B56" s="5" t="s">
        <v>69</v>
      </c>
      <c r="C56" s="6" t="n">
        <f aca="false">COUNTIFS([1]SurveyDATA!$E$1:$E$1048576,"*CATMON*",[1]SurveyDATA!$BS$1:$BS$1048576,"*RESIDENTIAL*",[1]SurveyDATA!$BT$1:$BT$1048576,"*STRUCTURE OWNER*",[1]SurveyDATA!$A$1:$A$1048576,"LEGAL",[1]SurveyDATA!$JR$1:$JR$1048576,"*STAY*")</f>
        <v>2</v>
      </c>
      <c r="D56" s="6" t="n">
        <f aca="false">COUNTIFS([1]SurveyDATA!$E$1:$E$1048576,"*CATMON*",[1]SurveyDATA!$BS$1:$BS$1048576,"*RESIDENTIAL*",[1]SurveyDATA!$BT$1:$BT$1048576,"*STRUCTURE OWNER*",[1]SurveyDATA!$A$1:$A$1048576,"LEGAL",[1]SurveyDATA!$JR$1:$JR$1048576,"*NEED*")</f>
        <v>1</v>
      </c>
      <c r="E56" s="6" t="n">
        <f aca="false">COUNTIFS([1]SurveyDATA!$E$1:$E$1048576,"*BRGY.50*",[1]SurveyDATA!$BS$1:$BS$1048576,"*MIXED*",[1]SurveyDATA!$BT$1:$BT$1048576,"*STRUCTURE OWNER*",[1]SurveyDATA!$A$1:$A$1048576,"LEGAL",[1]SurveyDATA!$JR$1:$JR$1048576,"*STAY*")</f>
        <v>0</v>
      </c>
      <c r="F56" s="6" t="n">
        <f aca="false">COUNTIFS([1]SurveyDATA!$E$1:$E$1048576,"*BRGY.50*",[1]SurveyDATA!$BS$1:$BS$1048576,"*MIXED*",[1]SurveyDATA!$BT$1:$BT$1048576,"*STRUCTURE OWNER*",[1]SurveyDATA!$A$1:$A$1048576,"LEGAL",[1]SurveyDATA!$JR$1:$JR$1048576,"*NEED*")</f>
        <v>0</v>
      </c>
      <c r="G56" s="6" t="n">
        <f aca="false">COUNTIFS([1]SurveyDATA!$E$1:$E$1048576,"*BRGY.50*",[1]SurveyDATA!$BS$1:$BS$1048576,"*COMMERICIAL*",[1]SurveyDATA!$BT$1:$BT$1048576,"*STRUCTURE OWNER*",[1]SurveyDATA!$A$1:$A$1048576,"LEGAL",[1]SurveyDATA!$JR$1:$JR$1048576,"*STAY*")</f>
        <v>0</v>
      </c>
      <c r="H56" s="6" t="n">
        <f aca="false">COUNTIFS([1]SurveyDATA!$E$1:$E$1048576,"*BRGY.50*",[1]SurveyDATA!$BS$1:$BS$1048576,"*COMMERCIAL*",[1]SurveyDATA!$BT$1:$BT$1048576,"*STRUCTURE OWNER*",[1]SurveyDATA!$A$1:$A$1048576,"LEGAL",[1]SurveyDATA!$JR$1:$JR$1048576,"*NEED*")</f>
        <v>0</v>
      </c>
      <c r="I56" s="6" t="n">
        <f aca="false">COUNTIFS([1]SurveyDATA!$E$1:$E$1048576,"*BRGY.50*",[1]SurveyDATA!$BS$1:$BS$1048576,"*INSTITUTIONAL*",[1]SurveyDATA!$BT$1:$BT$1048576,"*STRUCTURE OWNER*",[1]SurveyDATA!$A$1:$A$1048576,"LEGAL",[1]SurveyDATA!$JR$1:$JR$1048576,"*STAY*")</f>
        <v>0</v>
      </c>
      <c r="J56" s="6" t="n">
        <f aca="false">COUNTIFS([1]SurveyDATA!$E$1:$E$1048576,"*BRGY.50*",[1]SurveyDATA!$BS$1:$BS$1048576,"*INSTITUTIONAL*",[1]SurveyDATA!$BT$1:$BT$1048576,"*STRUCTURE OWNER*",[1]SurveyDATA!$A$1:$A$1048576,"LEGAL",[1]SurveyDATA!$JR$1:$JR$1048576,"*NEED*")</f>
        <v>0</v>
      </c>
      <c r="K56" s="6" t="n">
        <f aca="false">COUNTIFS([1]SurveyDATA!$E$1:$E$1048576,"*BRGY.50*",[1]SurveyDATA!$BS$1:$BS$1048576,"RESIDENTIAL*",[1]SurveyDATA!$BT$1:$BT$1048576,"*STRUCTURE RENTER*",[1]SurveyDATA!$A$1:$A$1048576,"LEGAL",[1]SurveyDATA!$JR$1:$JR$1048576,"*STAY*")</f>
        <v>0</v>
      </c>
      <c r="L56" s="6" t="n">
        <f aca="false">COUNTIFS([1]SurveyDATA!$E$1:$E$1048576,"*BRGY.50*",[1]SurveyDATA!$BS$1:$BS$1048576,"RESIDENTIAL*",[1]SurveyDATA!$BT$1:$BT$1048576,"*STRUCTURE RENTER*",[1]SurveyDATA!$A$1:$A$1048576,"LEGAL",[1]SurveyDATA!$JR$1:$JR$1048576,"*NEED*")</f>
        <v>0</v>
      </c>
      <c r="M56" s="6" t="n">
        <f aca="false">COUNTIFS([1]SurveyDATA!$E$1:$E$1048576,"*BRGY.50*",[1]SurveyDATA!$BS$1:$BS$1048576,"RESIDENTIAL*",[1]SurveyDATA!$BT$1:$BT$1048576,"*STRUCTURE OWNER*",[1]SurveyDATA!$A$1:$A$1048576,"LEGAL",[1]SurveyDATA!$JR$1:$JR$1048576,"*STAY*",[1]SurveyDATA!AS$1:AS$1048576,"*ABSENTEE*")</f>
        <v>0</v>
      </c>
      <c r="N56" s="6" t="n">
        <f aca="false">COUNTIFS([1]SurveyDATA!$E$1:$E$1048576,"*BRGY.50*",[1]SurveyDATA!$BS$1:$BS$1048576,"RESIDENTIAL*",[1]SurveyDATA!$BT$1:$BT$1048576,"*STRUCTURE OWNER*",[1]SurveyDATA!$A$1:$A$1048576,"LEGAL",[1]SurveyDATA!$JR$1:$JR$1048576,"*NEED*",[1]SurveyDATA!AS$1:AS$1048576,"*ABSENTEE*")</f>
        <v>0</v>
      </c>
      <c r="O56" s="7" t="e">
        <f aca="false">COUNTIFS([1]surveydata!#ref!,"*LEGAL*",[1]surveydata!#ref!,"*BRGY.50*",[1]SurveyDATA!Q$1:Q$1048576,"LAND OWNER",[1]SurveyDATA!T$1:T$1048576,"&lt;20%",[1]SurveyDATA!AS$1:AS$1048576,"")</f>
        <v>#NAME?</v>
      </c>
      <c r="P56" s="7" t="e">
        <f aca="false">COUNTIFS([1]surveydata!#ref!,"*LEGAL*",[1]surveydata!#ref!,"*BRGY.50*",[1]SurveyDATA!Q$1:Q$1048576,"LAND OWNER",[1]SurveyDATA!T$1:T$1048576,"&gt;20%",[1]SurveyDATA!AS$1:AS$1048576,"")</f>
        <v>#NAME?</v>
      </c>
      <c r="Q56" s="12"/>
      <c r="R56" s="13"/>
      <c r="S56" s="7" t="e">
        <f aca="false">SUM(Q56,O56,M56,K56,I56,G56,K56,E56,C56,)</f>
        <v>#NAME?</v>
      </c>
      <c r="T56" s="7" t="e">
        <f aca="false">SUM(R56,P56,N56,L56,J56,H56,L56,F56,D56,)</f>
        <v>#NAME?</v>
      </c>
    </row>
    <row r="57" customFormat="false" ht="15" hidden="false" customHeight="false" outlineLevel="0" collapsed="false">
      <c r="A57" s="5"/>
      <c r="B57" s="5" t="s">
        <v>70</v>
      </c>
      <c r="C57" s="6" t="n">
        <f aca="false">COUNTIFS([1]SurveyDATA!$E$1:$E$1048576,"*CATMON*",[1]SurveyDATA!$BS$1:$BS$1048576,"*RESIDENTIAL*",[1]SurveyDATA!$BT$1:$BT$1048576,"*STRUCTURE OWNER*",[1]SurveyDATA!$A$1:$A$1048576,"LEGAL",[1]SurveyDATA!$JR$1:$JR$1048576,"*STAY*")</f>
        <v>2</v>
      </c>
      <c r="D57" s="6" t="n">
        <f aca="false">COUNTIFS([1]SurveyDATA!$E$1:$E$1048576,"*CATMON*",[1]SurveyDATA!$BS$1:$BS$1048576,"*RESIDENTIAL*",[1]SurveyDATA!$BT$1:$BT$1048576,"*STRUCTURE OWNER*",[1]SurveyDATA!$A$1:$A$1048576,"LEGAL",[1]SurveyDATA!$JR$1:$JR$1048576,"*NEED*")</f>
        <v>1</v>
      </c>
      <c r="E57" s="6" t="n">
        <f aca="false">COUNTIFS([1]SurveyDATA!$E$1:$E$1048576,"*BRGY.51*",[1]SurveyDATA!$BS$1:$BS$1048576,"*MIXED*",[1]SurveyDATA!$BT$1:$BT$1048576,"*STRUCTURE OWNER*",[1]SurveyDATA!$A$1:$A$1048576,"LEGAL",[1]SurveyDATA!$JR$1:$JR$1048576,"*STAY*")</f>
        <v>0</v>
      </c>
      <c r="F57" s="6" t="n">
        <f aca="false">COUNTIFS([1]SurveyDATA!$E$1:$E$1048576,"*BRGY.51*",[1]SurveyDATA!$BS$1:$BS$1048576,"*MIXED*",[1]SurveyDATA!$BT$1:$BT$1048576,"*STRUCTURE OWNER*",[1]SurveyDATA!$A$1:$A$1048576,"LEGAL",[1]SurveyDATA!$JR$1:$JR$1048576,"*NEED*")</f>
        <v>0</v>
      </c>
      <c r="G57" s="6" t="n">
        <f aca="false">COUNTIFS([1]SurveyDATA!$E$1:$E$1048576,"*BRGY.51*",[1]SurveyDATA!$BS$1:$BS$1048576,"*COMMERICIAL*",[1]SurveyDATA!$BT$1:$BT$1048576,"*STRUCTURE OWNER*",[1]SurveyDATA!$A$1:$A$1048576,"LEGAL",[1]SurveyDATA!$JR$1:$JR$1048576,"*STAY*")</f>
        <v>0</v>
      </c>
      <c r="H57" s="6" t="n">
        <f aca="false">COUNTIFS([1]SurveyDATA!$E$1:$E$1048576,"*BRGY.51*",[1]SurveyDATA!$BS$1:$BS$1048576,"*COMMERCIAL*",[1]SurveyDATA!$BT$1:$BT$1048576,"*STRUCTURE OWNER*",[1]SurveyDATA!$A$1:$A$1048576,"LEGAL",[1]SurveyDATA!$JR$1:$JR$1048576,"*NEED*")</f>
        <v>0</v>
      </c>
      <c r="I57" s="6" t="n">
        <f aca="false">COUNTIFS([1]SurveyDATA!$E$1:$E$1048576,"*BRGY.51*",[1]SurveyDATA!$BS$1:$BS$1048576,"*INSTITUTIONAL*",[1]SurveyDATA!$BT$1:$BT$1048576,"*STRUCTURE OWNER*",[1]SurveyDATA!$A$1:$A$1048576,"LEGAL",[1]SurveyDATA!$JR$1:$JR$1048576,"*STAY*")</f>
        <v>0</v>
      </c>
      <c r="J57" s="6" t="n">
        <f aca="false">COUNTIFS([1]SurveyDATA!$E$1:$E$1048576,"*BRGY.51*",[1]SurveyDATA!$BS$1:$BS$1048576,"*INSTITUTIONAL*",[1]SurveyDATA!$BT$1:$BT$1048576,"*STRUCTURE OWNER*",[1]SurveyDATA!$A$1:$A$1048576,"LEGAL",[1]SurveyDATA!$JR$1:$JR$1048576,"*NEED*")</f>
        <v>0</v>
      </c>
      <c r="K57" s="6" t="n">
        <f aca="false">COUNTIFS([1]SurveyDATA!$E$1:$E$1048576,"*BRGY.51*",[1]SurveyDATA!$BS$1:$BS$1048576,"RESIDENTIAL*",[1]SurveyDATA!$BT$1:$BT$1048576,"*STRUCTURE RENTER*",[1]SurveyDATA!$A$1:$A$1048576,"LEGAL",[1]SurveyDATA!$JR$1:$JR$1048576,"*STAY*")</f>
        <v>0</v>
      </c>
      <c r="L57" s="6" t="n">
        <f aca="false">COUNTIFS([1]SurveyDATA!$E$1:$E$1048576,"*BRGY.51*",[1]SurveyDATA!$BS$1:$BS$1048576,"RESIDENTIAL*",[1]SurveyDATA!$BT$1:$BT$1048576,"*STRUCTURE RENTER*",[1]SurveyDATA!$A$1:$A$1048576,"LEGAL",[1]SurveyDATA!$JR$1:$JR$1048576,"*NEED*")</f>
        <v>0</v>
      </c>
      <c r="M57" s="6" t="n">
        <f aca="false">COUNTIFS([1]SurveyDATA!$E$1:$E$1048576,"*BRGY.51*",[1]SurveyDATA!$BS$1:$BS$1048576,"RESIDENTIAL*",[1]SurveyDATA!$BT$1:$BT$1048576,"*STRUCTURE OWNER*",[1]SurveyDATA!$A$1:$A$1048576,"LEGAL",[1]SurveyDATA!$JR$1:$JR$1048576,"*STAY*",[1]SurveyDATA!AS$1:AS$1048576,"*ABSENTEE*")</f>
        <v>0</v>
      </c>
      <c r="N57" s="6" t="n">
        <f aca="false">COUNTIFS([1]SurveyDATA!$E$1:$E$1048576,"*BRGY.51*",[1]SurveyDATA!$BS$1:$BS$1048576,"RESIDENTIAL*",[1]SurveyDATA!$BT$1:$BT$1048576,"*STRUCTURE OWNER*",[1]SurveyDATA!$A$1:$A$1048576,"LEGAL",[1]SurveyDATA!$JR$1:$JR$1048576,"*NEED*",[1]SurveyDATA!AS$1:AS$1048576,"*ABSENTEE*")</f>
        <v>0</v>
      </c>
      <c r="O57" s="7" t="e">
        <f aca="false">COUNTIFS([1]surveydata!#ref!,"*LEGAL*",[1]surveydata!#ref!,"*BRGY.51*",[1]SurveyDATA!Q$1:Q$1048576,"LAND OWNER",[1]SurveyDATA!T$1:T$1048576,"&lt;20%",[1]SurveyDATA!AS$1:AS$1048576,"")</f>
        <v>#NAME?</v>
      </c>
      <c r="P57" s="7" t="e">
        <f aca="false">COUNTIFS([1]surveydata!#ref!,"*LEGAL*",[1]surveydata!#ref!,"*BRGY.51*",[1]SurveyDATA!Q$1:Q$1048576,"LAND OWNER",[1]SurveyDATA!T$1:T$1048576,"&gt;20%",[1]SurveyDATA!AS$1:AS$1048576,"")</f>
        <v>#NAME?</v>
      </c>
      <c r="Q57" s="12"/>
      <c r="R57" s="13"/>
      <c r="S57" s="7" t="e">
        <f aca="false">SUM(Q57,O57,M57,K57,I57,G57,K57,E57,C57,)</f>
        <v>#NAME?</v>
      </c>
      <c r="T57" s="7" t="e">
        <f aca="false">SUM(R57,P57,N57,L57,J57,H57,L57,F57,D57,)</f>
        <v>#NAME?</v>
      </c>
    </row>
    <row r="58" customFormat="false" ht="15" hidden="false" customHeight="false" outlineLevel="0" collapsed="false">
      <c r="A58" s="5"/>
      <c r="B58" s="5" t="s">
        <v>71</v>
      </c>
      <c r="C58" s="6" t="n">
        <f aca="false">COUNTIFS([1]SurveyDATA!$E$1:$E$1048576,"*CATMON*",[1]SurveyDATA!$BS$1:$BS$1048576,"*RESIDENTIAL*",[1]SurveyDATA!$BT$1:$BT$1048576,"*STRUCTURE OWNER*",[1]SurveyDATA!$A$1:$A$1048576,"LEGAL",[1]SurveyDATA!$JR$1:$JR$1048576,"*STAY*")</f>
        <v>2</v>
      </c>
      <c r="D58" s="6" t="n">
        <f aca="false">COUNTIFS([1]SurveyDATA!$E$1:$E$1048576,"*CATMON*",[1]SurveyDATA!$BS$1:$BS$1048576,"*RESIDENTIAL*",[1]SurveyDATA!$BT$1:$BT$1048576,"*STRUCTURE OWNER*",[1]SurveyDATA!$A$1:$A$1048576,"LEGAL",[1]SurveyDATA!$JR$1:$JR$1048576,"*NEED*")</f>
        <v>1</v>
      </c>
      <c r="E58" s="6" t="n">
        <f aca="false">COUNTIFS([1]SurveyDATA!$E$1:$E$1048576,"*BRGY.48*",[1]SurveyDATA!$BS$1:$BS$1048576,"*MIXED*",[1]SurveyDATA!$BT$1:$BT$1048576,"*STRUCTURE OWNER*",[1]SurveyDATA!$A$1:$A$1048576,"LEGAL",[1]SurveyDATA!$JR$1:$JR$1048576,"*STAY*")</f>
        <v>0</v>
      </c>
      <c r="F58" s="6" t="n">
        <f aca="false">COUNTIFS([1]SurveyDATA!$E$1:$E$1048576,"*BRGY.48*",[1]SurveyDATA!$BS$1:$BS$1048576,"*MIXED*",[1]SurveyDATA!$BT$1:$BT$1048576,"*STRUCTURE OWNER*",[1]SurveyDATA!$A$1:$A$1048576,"LEGAL",[1]SurveyDATA!$JR$1:$JR$1048576,"*NEED*")</f>
        <v>0</v>
      </c>
      <c r="G58" s="6" t="n">
        <f aca="false">COUNTIFS([1]SurveyDATA!$E$1:$E$1048576,"*BRGY.48*",[1]SurveyDATA!$BS$1:$BS$1048576,"*COMMERICIAL*",[1]SurveyDATA!$BT$1:$BT$1048576,"*STRUCTURE OWNER*",[1]SurveyDATA!$A$1:$A$1048576,"LEGAL",[1]SurveyDATA!$JR$1:$JR$1048576,"*STAY*")</f>
        <v>0</v>
      </c>
      <c r="H58" s="6" t="n">
        <f aca="false">COUNTIFS([1]SurveyDATA!$E$1:$E$1048576,"*BRGY.48*",[1]SurveyDATA!$BS$1:$BS$1048576,"*COMMERCIAL*",[1]SurveyDATA!$BT$1:$BT$1048576,"*STRUCTURE OWNER*",[1]SurveyDATA!$A$1:$A$1048576,"LEGAL",[1]SurveyDATA!$JR$1:$JR$1048576,"*NEED*")</f>
        <v>0</v>
      </c>
      <c r="I58" s="6" t="n">
        <f aca="false">COUNTIFS([1]SurveyDATA!$E$1:$E$1048576,"*BRGY.48*",[1]SurveyDATA!$BS$1:$BS$1048576,"*INSTITUTIONAL*",[1]SurveyDATA!$BT$1:$BT$1048576,"*STRUCTURE OWNER*",[1]SurveyDATA!$A$1:$A$1048576,"LEGAL",[1]SurveyDATA!$JR$1:$JR$1048576,"*STAY*")</f>
        <v>0</v>
      </c>
      <c r="J58" s="6" t="n">
        <f aca="false">COUNTIFS([1]SurveyDATA!$E$1:$E$1048576,"*BRGY.48*",[1]SurveyDATA!$BS$1:$BS$1048576,"*INSTITUTIONAL*",[1]SurveyDATA!$BT$1:$BT$1048576,"*STRUCTURE OWNER*",[1]SurveyDATA!$A$1:$A$1048576,"LEGAL",[1]SurveyDATA!$JR$1:$JR$1048576,"*NEED*")</f>
        <v>0</v>
      </c>
      <c r="K58" s="6" t="n">
        <f aca="false">COUNTIFS([1]SurveyDATA!$E$1:$E$1048576,"*BRGY.48*",[1]SurveyDATA!$BS$1:$BS$1048576,"RESIDENTIAL*",[1]SurveyDATA!$BT$1:$BT$1048576,"*STRUCTURE RENTER*",[1]SurveyDATA!$A$1:$A$1048576,"LEGAL",[1]SurveyDATA!$JR$1:$JR$1048576,"*STAY*")</f>
        <v>0</v>
      </c>
      <c r="L58" s="6" t="n">
        <f aca="false">COUNTIFS([1]SurveyDATA!$E$1:$E$1048576,"*BRGY.48*",[1]SurveyDATA!$BS$1:$BS$1048576,"RESIDENTIAL*",[1]SurveyDATA!$BT$1:$BT$1048576,"*STRUCTURE RENTER*",[1]SurveyDATA!$A$1:$A$1048576,"LEGAL",[1]SurveyDATA!$JR$1:$JR$1048576,"*NEED*")</f>
        <v>0</v>
      </c>
      <c r="M58" s="6" t="n">
        <f aca="false">COUNTIFS([1]SurveyDATA!$E$1:$E$1048576,"*BRGY.48*",[1]SurveyDATA!$BS$1:$BS$1048576,"RESIDENTIAL*",[1]SurveyDATA!$BT$1:$BT$1048576,"*STRUCTURE OWNER*",[1]SurveyDATA!$A$1:$A$1048576,"LEGAL",[1]SurveyDATA!$JR$1:$JR$1048576,"*STAY*",[1]SurveyDATA!AS$1:AS$1048576,"*ABSENTEE*")</f>
        <v>0</v>
      </c>
      <c r="N58" s="6" t="n">
        <f aca="false">COUNTIFS([1]SurveyDATA!$E$1:$E$1048576,"*BRGY.48*",[1]SurveyDATA!$BS$1:$BS$1048576,"RESIDENTIAL*",[1]SurveyDATA!$BT$1:$BT$1048576,"*STRUCTURE OWNER*",[1]SurveyDATA!$A$1:$A$1048576,"LEGAL",[1]SurveyDATA!$JR$1:$JR$1048576,"*NEED*",[1]SurveyDATA!AS$1:AS$1048576,"*ABSENTEE*")</f>
        <v>0</v>
      </c>
      <c r="O58" s="7" t="e">
        <f aca="false">COUNTIFS([1]surveydata!#ref!,"*LEGAL*",[1]surveydata!#ref!,"*BRGY.48*",[1]SurveyDATA!Q$1:Q$1048576,"LAND OWNER",[1]SurveyDATA!T$1:T$1048576,"&lt;20%",[1]SurveyDATA!AS$1:AS$1048576,"")</f>
        <v>#NAME?</v>
      </c>
      <c r="P58" s="7" t="e">
        <f aca="false">COUNTIFS([1]surveydata!#ref!,"*LEGAL*",[1]surveydata!#ref!,"*BRGY.48*",[1]SurveyDATA!Q$1:Q$1048576,"LAND OWNER",[1]SurveyDATA!T$1:T$1048576,"&gt;20%",[1]SurveyDATA!AS$1:AS$1048576,"")</f>
        <v>#NAME?</v>
      </c>
      <c r="Q58" s="12"/>
      <c r="R58" s="13"/>
      <c r="S58" s="7" t="e">
        <f aca="false">SUM(Q58,O58,M58,K58,I58,G58,K58,E58,C58,)</f>
        <v>#NAME?</v>
      </c>
      <c r="T58" s="7" t="e">
        <f aca="false">SUM(R58,P58,N58,L58,J58,H58,L58,F58,D58,)</f>
        <v>#NAME?</v>
      </c>
    </row>
    <row r="59" customFormat="false" ht="15" hidden="false" customHeight="false" outlineLevel="0" collapsed="false">
      <c r="A59" s="5"/>
      <c r="B59" s="5" t="s">
        <v>72</v>
      </c>
      <c r="C59" s="6" t="n">
        <f aca="false">COUNTIFS([1]SurveyDATA!$E$1:$E$1048576,"*CATMON*",[1]SurveyDATA!$BS$1:$BS$1048576,"*RESIDENTIAL*",[1]SurveyDATA!$BT$1:$BT$1048576,"*STRUCTURE OWNER*",[1]SurveyDATA!$A$1:$A$1048576,"LEGAL",[1]SurveyDATA!$JR$1:$JR$1048576,"*STAY*")</f>
        <v>2</v>
      </c>
      <c r="D59" s="6" t="n">
        <f aca="false">COUNTIFS([1]SurveyDATA!$E$1:$E$1048576,"*CATMON*",[1]SurveyDATA!$BS$1:$BS$1048576,"*RESIDENTIAL*",[1]SurveyDATA!$BT$1:$BT$1048576,"*STRUCTURE OWNER*",[1]SurveyDATA!$A$1:$A$1048576,"LEGAL",[1]SurveyDATA!$JR$1:$JR$1048576,"*NEED*")</f>
        <v>1</v>
      </c>
      <c r="E59" s="6" t="n">
        <f aca="false">COUNTIFS([1]SurveyDATA!$E$1:$E$1048576,"*BRGY.199*",[1]SurveyDATA!$BS$1:$BS$1048576,"*MIXED*",[1]SurveyDATA!$BT$1:$BT$1048576,"*STRUCTURE OWNER*",[1]SurveyDATA!$A$1:$A$1048576,"LEGAL",[1]SurveyDATA!$JR$1:$JR$1048576,"*STAY*")</f>
        <v>0</v>
      </c>
      <c r="F59" s="6" t="n">
        <f aca="false">COUNTIFS([1]SurveyDATA!$E$1:$E$1048576,"*BRGY.199*",[1]SurveyDATA!$BS$1:$BS$1048576,"*MIXED*",[1]SurveyDATA!$BT$1:$BT$1048576,"*STRUCTURE OWNER*",[1]SurveyDATA!$A$1:$A$1048576,"LEGAL",[1]SurveyDATA!$JR$1:$JR$1048576,"*NEED*")</f>
        <v>0</v>
      </c>
      <c r="G59" s="6" t="n">
        <f aca="false">COUNTIFS([1]SurveyDATA!$E$1:$E$1048576,"*BRGY.199*",[1]SurveyDATA!$BS$1:$BS$1048576,"*COMMERICIAL*",[1]SurveyDATA!$BT$1:$BT$1048576,"*STRUCTURE OWNER*",[1]SurveyDATA!$A$1:$A$1048576,"LEGAL",[1]SurveyDATA!$JR$1:$JR$1048576,"*STAY*")</f>
        <v>0</v>
      </c>
      <c r="H59" s="6" t="n">
        <f aca="false">COUNTIFS([1]SurveyDATA!$E$1:$E$1048576,"*BRGY.199*",[1]SurveyDATA!$BS$1:$BS$1048576,"*COMMERCIAL*",[1]SurveyDATA!$BT$1:$BT$1048576,"*STRUCTURE OWNER*",[1]SurveyDATA!$A$1:$A$1048576,"LEGAL",[1]SurveyDATA!$JR$1:$JR$1048576,"*NEED*")</f>
        <v>0</v>
      </c>
      <c r="I59" s="6" t="n">
        <f aca="false">COUNTIFS([1]SurveyDATA!$E$1:$E$1048576,"*BRGY.199*",[1]SurveyDATA!$BS$1:$BS$1048576,"*INSTITUTIONAL*",[1]SurveyDATA!$BT$1:$BT$1048576,"*STRUCTURE OWNER*",[1]SurveyDATA!$A$1:$A$1048576,"LEGAL",[1]SurveyDATA!$JR$1:$JR$1048576,"*STAY*")</f>
        <v>0</v>
      </c>
      <c r="J59" s="6" t="n">
        <f aca="false">COUNTIFS([1]SurveyDATA!$E$1:$E$1048576,"*BRGY.199*",[1]SurveyDATA!$BS$1:$BS$1048576,"*INSTITUTIONAL*",[1]SurveyDATA!$BT$1:$BT$1048576,"*STRUCTURE OWNER*",[1]SurveyDATA!$A$1:$A$1048576,"LEGAL",[1]SurveyDATA!$JR$1:$JR$1048576,"*NEED*")</f>
        <v>0</v>
      </c>
      <c r="K59" s="6" t="n">
        <f aca="false">COUNTIFS([1]SurveyDATA!$E$1:$E$1048576,"*BRGY.199*",[1]SurveyDATA!$BS$1:$BS$1048576,"RESIDENTIAL*",[1]SurveyDATA!$BT$1:$BT$1048576,"*STRUCTURE RENTER*",[1]SurveyDATA!$A$1:$A$1048576,"LEGAL",[1]SurveyDATA!$JR$1:$JR$1048576,"*STAY*")</f>
        <v>0</v>
      </c>
      <c r="L59" s="6" t="n">
        <f aca="false">COUNTIFS([1]SurveyDATA!$E$1:$E$1048576,"*BRGY.199*",[1]SurveyDATA!$BS$1:$BS$1048576,"RESIDENTIAL*",[1]SurveyDATA!$BT$1:$BT$1048576,"*STRUCTURE RENTER*",[1]SurveyDATA!$A$1:$A$1048576,"LEGAL",[1]SurveyDATA!$JR$1:$JR$1048576,"*NEED*")</f>
        <v>0</v>
      </c>
      <c r="M59" s="6" t="n">
        <f aca="false">COUNTIFS([1]SurveyDATA!$E$1:$E$1048576,"*BRGY.199*",[1]SurveyDATA!$BS$1:$BS$1048576,"RESIDENTIAL*",[1]SurveyDATA!$BT$1:$BT$1048576,"*STRUCTURE OWNER*",[1]SurveyDATA!$A$1:$A$1048576,"LEGAL",[1]SurveyDATA!$JR$1:$JR$1048576,"*STAY*",[1]SurveyDATA!AS$1:AS$1048576,"*ABSENTEE*")</f>
        <v>0</v>
      </c>
      <c r="N59" s="6" t="n">
        <f aca="false">COUNTIFS([1]SurveyDATA!$E$1:$E$1048576,"*BRGY.199*",[1]SurveyDATA!$BS$1:$BS$1048576,"RESIDENTIAL*",[1]SurveyDATA!$BT$1:$BT$1048576,"*STRUCTURE OWNER*",[1]SurveyDATA!$A$1:$A$1048576,"LEGAL",[1]SurveyDATA!$JR$1:$JR$1048576,"*NEED*",[1]SurveyDATA!AS$1:AS$1048576,"*ABSENTEE*")</f>
        <v>0</v>
      </c>
      <c r="O59" s="7" t="e">
        <f aca="false">COUNTIFS([1]surveydata!#ref!,"*LEGAL*",[1]surveydata!#ref!,"*BRGY.199*",[1]SurveyDATA!Q$1:Q$1048576,"LAND OWNER",[1]SurveyDATA!T$1:T$1048576,"&lt;20%",[1]SurveyDATA!AS$1:AS$1048576,"")</f>
        <v>#NAME?</v>
      </c>
      <c r="P59" s="7" t="e">
        <f aca="false">COUNTIFS([1]surveydata!#ref!,"*LEGAL*",[1]surveydata!#ref!,"*BRGY.199*",[1]SurveyDATA!Q$1:Q$1048576,"LAND OWNER",[1]SurveyDATA!T$1:T$1048576,"&gt;20%",[1]SurveyDATA!AS$1:AS$1048576,"")</f>
        <v>#NAME?</v>
      </c>
      <c r="Q59" s="12"/>
      <c r="R59" s="13"/>
      <c r="S59" s="7" t="e">
        <f aca="false">SUM(Q59,O59,M59,K59,I59,G59,K59,E59,C59,)</f>
        <v>#NAME?</v>
      </c>
      <c r="T59" s="7" t="e">
        <f aca="false">SUM(R59,P59,N59,L59,J59,H59,L59,F59,D59,)</f>
        <v>#NAME?</v>
      </c>
    </row>
    <row r="60" customFormat="false" ht="15" hidden="false" customHeight="false" outlineLevel="0" collapsed="false">
      <c r="A60" s="5"/>
      <c r="B60" s="5" t="s">
        <v>73</v>
      </c>
      <c r="C60" s="6" t="n">
        <f aca="false">COUNTIFS([1]SurveyDATA!$E$1:$E$1048576,"*CATMON*",[1]SurveyDATA!$BS$1:$BS$1048576,"*RESIDENTIAL*",[1]SurveyDATA!$BT$1:$BT$1048576,"*STRUCTURE OWNER*",[1]SurveyDATA!$A$1:$A$1048576,"LEGAL",[1]SurveyDATA!$JR$1:$JR$1048576,"*STAY*")</f>
        <v>2</v>
      </c>
      <c r="D60" s="6" t="n">
        <f aca="false">COUNTIFS([1]SurveyDATA!$E$1:$E$1048576,"*CATMON*",[1]SurveyDATA!$BS$1:$BS$1048576,"*RESIDENTIAL*",[1]SurveyDATA!$BT$1:$BT$1048576,"*STRUCTURE OWNER*",[1]SurveyDATA!$A$1:$A$1048576,"LEGAL",[1]SurveyDATA!$JR$1:$JR$1048576,"*NEED*")</f>
        <v>1</v>
      </c>
      <c r="E60" s="6" t="n">
        <f aca="false">COUNTIFS([1]SurveyDATA!$E$1:$E$1048576,"*BRGY.200*",[1]SurveyDATA!$BS$1:$BS$1048576,"*MIXED*",[1]SurveyDATA!$BT$1:$BT$1048576,"*STRUCTURE OWNER*",[1]SurveyDATA!$A$1:$A$1048576,"LEGAL",[1]SurveyDATA!$JR$1:$JR$1048576,"*STAY*")</f>
        <v>0</v>
      </c>
      <c r="F60" s="6" t="n">
        <f aca="false">COUNTIFS([1]SurveyDATA!$E$1:$E$1048576,"*BRGY.200*",[1]SurveyDATA!$BS$1:$BS$1048576,"*MIXED*",[1]SurveyDATA!$BT$1:$BT$1048576,"*STRUCTURE OWNER*",[1]SurveyDATA!$A$1:$A$1048576,"LEGAL",[1]SurveyDATA!$JR$1:$JR$1048576,"*NEED*")</f>
        <v>0</v>
      </c>
      <c r="G60" s="6" t="n">
        <f aca="false">COUNTIFS([1]SurveyDATA!$E$1:$E$1048576,"*BRGY.200*",[1]SurveyDATA!$BS$1:$BS$1048576,"*COMMERICIAL*",[1]SurveyDATA!$BT$1:$BT$1048576,"*STRUCTURE OWNER*",[1]SurveyDATA!$A$1:$A$1048576,"LEGAL",[1]SurveyDATA!$JR$1:$JR$1048576,"*STAY*")</f>
        <v>0</v>
      </c>
      <c r="H60" s="6" t="n">
        <f aca="false">COUNTIFS([1]SurveyDATA!$E$1:$E$1048576,"*BRGY.200*",[1]SurveyDATA!$BS$1:$BS$1048576,"*COMMERCIAL*",[1]SurveyDATA!$BT$1:$BT$1048576,"*STRUCTURE OWNER*",[1]SurveyDATA!$A$1:$A$1048576,"LEGAL",[1]SurveyDATA!$JR$1:$JR$1048576,"*NEED*")</f>
        <v>0</v>
      </c>
      <c r="I60" s="6" t="n">
        <f aca="false">COUNTIFS([1]SurveyDATA!$E$1:$E$1048576,"*BRGY.200*",[1]SurveyDATA!$BS$1:$BS$1048576,"*INSTITUTIONAL*",[1]SurveyDATA!$BT$1:$BT$1048576,"*STRUCTURE OWNER*",[1]SurveyDATA!$A$1:$A$1048576,"LEGAL",[1]SurveyDATA!$JR$1:$JR$1048576,"*STAY*")</f>
        <v>0</v>
      </c>
      <c r="J60" s="6" t="n">
        <f aca="false">COUNTIFS([1]SurveyDATA!$E$1:$E$1048576,"*BRGY.200*",[1]SurveyDATA!$BS$1:$BS$1048576,"*INSTITUTIONAL*",[1]SurveyDATA!$BT$1:$BT$1048576,"*STRUCTURE OWNER*",[1]SurveyDATA!$A$1:$A$1048576,"LEGAL",[1]SurveyDATA!$JR$1:$JR$1048576,"*NEED*")</f>
        <v>0</v>
      </c>
      <c r="K60" s="6" t="n">
        <f aca="false">COUNTIFS([1]SurveyDATA!$E$1:$E$1048576,"*BRGY.200*",[1]SurveyDATA!$BS$1:$BS$1048576,"RESIDENTIAL*",[1]SurveyDATA!$BT$1:$BT$1048576,"*STRUCTURE RENTER*",[1]SurveyDATA!$A$1:$A$1048576,"LEGAL",[1]SurveyDATA!$JR$1:$JR$1048576,"*STAY*")</f>
        <v>0</v>
      </c>
      <c r="L60" s="6" t="n">
        <f aca="false">COUNTIFS([1]SurveyDATA!$E$1:$E$1048576,"*BRGY.200*",[1]SurveyDATA!$BS$1:$BS$1048576,"RESIDENTIAL*",[1]SurveyDATA!$BT$1:$BT$1048576,"*STRUCTURE RENTER*",[1]SurveyDATA!$A$1:$A$1048576,"LEGAL",[1]SurveyDATA!$JR$1:$JR$1048576,"*NEED*")</f>
        <v>0</v>
      </c>
      <c r="M60" s="6" t="n">
        <f aca="false">COUNTIFS([1]SurveyDATA!$E$1:$E$1048576,"*BRGY.200*",[1]SurveyDATA!$BS$1:$BS$1048576,"RESIDENTIAL*",[1]SurveyDATA!$BT$1:$BT$1048576,"*STRUCTURE OWNER*",[1]SurveyDATA!$A$1:$A$1048576,"LEGAL",[1]SurveyDATA!$JR$1:$JR$1048576,"*STAY*",[1]SurveyDATA!AS$1:AS$1048576,"*ABSENTEE*")</f>
        <v>0</v>
      </c>
      <c r="N60" s="6" t="n">
        <f aca="false">COUNTIFS([1]SurveyDATA!$E$1:$E$1048576,"*BRGY.200*",[1]SurveyDATA!$BS$1:$BS$1048576,"RESIDENTIAL*",[1]SurveyDATA!$BT$1:$BT$1048576,"*STRUCTURE OWNER*",[1]SurveyDATA!$A$1:$A$1048576,"LEGAL",[1]SurveyDATA!$JR$1:$JR$1048576,"*NEED*",[1]SurveyDATA!AS$1:AS$1048576,"*ABSENTEE*")</f>
        <v>0</v>
      </c>
      <c r="O60" s="7" t="e">
        <f aca="false">COUNTIFS([1]surveydata!#ref!,"*LEGAL*",[1]surveydata!#ref!,"*BRGY.200*",[1]SurveyDATA!Q$1:Q$1048576,"LAND OWNER",[1]SurveyDATA!T$1:T$1048576,"&lt;20%",[1]SurveyDATA!AS$1:AS$1048576,"")</f>
        <v>#NAME?</v>
      </c>
      <c r="P60" s="7" t="e">
        <f aca="false">COUNTIFS([1]surveydata!#ref!,"*LEGAL*",[1]surveydata!#ref!,"*BRGY.200*",[1]SurveyDATA!Q$1:Q$1048576,"LAND OWNER",[1]SurveyDATA!T$1:T$1048576,"&gt;20%",[1]SurveyDATA!AS$1:AS$1048576,"")</f>
        <v>#NAME?</v>
      </c>
      <c r="Q60" s="12"/>
      <c r="R60" s="13"/>
      <c r="S60" s="7" t="e">
        <f aca="false">SUM(Q60,O60,M60,K60,I60,G60,K60,E60,C60,)</f>
        <v>#NAME?</v>
      </c>
      <c r="T60" s="7" t="e">
        <f aca="false">SUM(R60,P60,N60,L60,J60,H60,L60,F60,D60,)</f>
        <v>#NAME?</v>
      </c>
    </row>
    <row r="61" customFormat="false" ht="15.75" hidden="false" customHeight="false" outlineLevel="0" collapsed="false">
      <c r="A61" s="14"/>
      <c r="B61" s="15" t="s">
        <v>22</v>
      </c>
      <c r="C61" s="16" t="n">
        <f aca="false">SUM(C45:C60)</f>
        <v>32</v>
      </c>
      <c r="D61" s="16" t="n">
        <f aca="false">SUM(D45:D60)</f>
        <v>16</v>
      </c>
      <c r="E61" s="16" t="n">
        <f aca="false">SUM(E45:E60)</f>
        <v>0</v>
      </c>
      <c r="F61" s="16" t="n">
        <f aca="false">SUM(F45:F60)</f>
        <v>0</v>
      </c>
      <c r="G61" s="16" t="n">
        <f aca="false">SUM(G45:G60)</f>
        <v>0</v>
      </c>
      <c r="H61" s="16" t="n">
        <f aca="false">SUM(H45:H60)</f>
        <v>0</v>
      </c>
      <c r="I61" s="16" t="n">
        <f aca="false">SUM(I45:I60)</f>
        <v>0</v>
      </c>
      <c r="J61" s="16" t="n">
        <f aca="false">SUM(J45:J60)</f>
        <v>0</v>
      </c>
      <c r="K61" s="16" t="n">
        <f aca="false">SUM(K45:K60)</f>
        <v>0</v>
      </c>
      <c r="L61" s="16" t="n">
        <f aca="false">SUM(L45:L60)</f>
        <v>0</v>
      </c>
      <c r="M61" s="16" t="n">
        <f aca="false">SUM(M45:M60)</f>
        <v>0</v>
      </c>
      <c r="N61" s="16" t="n">
        <f aca="false">SUM(N45:N60)</f>
        <v>0</v>
      </c>
      <c r="O61" s="16" t="e">
        <f aca="false">SUM(O45:O60)</f>
        <v>#NAME?</v>
      </c>
      <c r="P61" s="16" t="e">
        <f aca="false">SUM(P45:P60)</f>
        <v>#NAME?</v>
      </c>
      <c r="Q61" s="16" t="n">
        <f aca="false">SUM(Q45:Q60)</f>
        <v>0</v>
      </c>
      <c r="R61" s="16" t="n">
        <f aca="false">SUM(R45:R60)</f>
        <v>0</v>
      </c>
      <c r="S61" s="16" t="e">
        <f aca="false">SUM(S45:S60)</f>
        <v>#NAME?</v>
      </c>
      <c r="T61" s="16" t="e">
        <f aca="false">SUM(T45:T60)</f>
        <v>#NAME?</v>
      </c>
    </row>
    <row r="62" customFormat="false" ht="15.75" hidden="false" customHeight="false" outlineLevel="0" collapsed="false">
      <c r="A62" s="17"/>
      <c r="B62" s="18" t="s">
        <v>74</v>
      </c>
      <c r="C62" s="19" t="n">
        <f aca="false">SUM(C61,C44,C34,C30,C25,C21,C17,C15,C10)</f>
        <v>88</v>
      </c>
      <c r="D62" s="19" t="n">
        <f aca="false">SUM(D61,D44,D34,D30,D25,D21,D17,D15,D10)</f>
        <v>46</v>
      </c>
      <c r="E62" s="19" t="n">
        <f aca="false">SUM(E61,E44,E34,E30,E25,E21,E17,E15,E10)</f>
        <v>2</v>
      </c>
      <c r="F62" s="19" t="n">
        <f aca="false">SUM(F61,F44,F34,F30,F25,F21,F17,F15,F10)</f>
        <v>3</v>
      </c>
      <c r="G62" s="19" t="n">
        <f aca="false">SUM(G61,G44,G34,G30,G25,G21,G17,G15,G10)</f>
        <v>0</v>
      </c>
      <c r="H62" s="19" t="n">
        <f aca="false">SUM(H61,H44,H34,H30,H25,H21,H17,H15,H10)</f>
        <v>3</v>
      </c>
      <c r="I62" s="19" t="n">
        <f aca="false">SUM(I61,I44,I34,I30,I25,I21,I17,I15,I10)</f>
        <v>0</v>
      </c>
      <c r="J62" s="19" t="n">
        <f aca="false">SUM(J61,J44,J34,J30,J25,J21,J17,J15,J10)</f>
        <v>2</v>
      </c>
      <c r="K62" s="19" t="n">
        <f aca="false">SUM(K61,K44,K34,K30,K25,K21,K17,K15,K10)</f>
        <v>0</v>
      </c>
      <c r="L62" s="19" t="n">
        <f aca="false">SUM(L61,L44,L34,L30,L25,L21,L17,L15,L10)</f>
        <v>0</v>
      </c>
      <c r="M62" s="19" t="n">
        <f aca="false">SUM(M61,M44,M34,M30,M25,M21,M17,M15,M10)</f>
        <v>0</v>
      </c>
      <c r="N62" s="19" t="n">
        <f aca="false">SUM(N61,N44,N34,N30,N25,N21,N17,N15,N10)</f>
        <v>0</v>
      </c>
      <c r="O62" s="19" t="e">
        <f aca="false">SUM(O61,O44,O34,O30,O25,O21,O17,O15,O10)</f>
        <v>#NAME?</v>
      </c>
      <c r="P62" s="19" t="e">
        <f aca="false">SUM(P61,P44,P34,P30,P25,P21,P17,P15,P10)</f>
        <v>#NAME?</v>
      </c>
      <c r="Q62" s="19" t="n">
        <f aca="false">SUM(Q61,Q44,Q34,Q30,Q25,Q21,Q17,Q15,Q10)</f>
        <v>0</v>
      </c>
      <c r="R62" s="19" t="n">
        <f aca="false">SUM(R61,R44,R34,R30,R25,R21,R17,R15,R10)</f>
        <v>0</v>
      </c>
      <c r="S62" s="19" t="e">
        <f aca="false">SUM(S61,S44,S34,S30,S25,S21,S17,S15,S10)</f>
        <v>#NAME?</v>
      </c>
      <c r="T62" s="19" t="e">
        <f aca="false">SUM(T61,T44,T34,T30,T25,T21,T17,T15,T10)</f>
        <v>#NAME?</v>
      </c>
    </row>
  </sheetData>
  <mergeCells count="13">
    <mergeCell ref="A3:A5"/>
    <mergeCell ref="B3:B5"/>
    <mergeCell ref="C3:D4"/>
    <mergeCell ref="E3:F4"/>
    <mergeCell ref="G3:H4"/>
    <mergeCell ref="I3:J4"/>
    <mergeCell ref="K3:L3"/>
    <mergeCell ref="M3:N4"/>
    <mergeCell ref="O3:P3"/>
    <mergeCell ref="Q3:R4"/>
    <mergeCell ref="S3:T4"/>
    <mergeCell ref="K4:L4"/>
    <mergeCell ref="O4:P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outlineLevelRow="0" outlineLevelCol="0"/>
  <cols>
    <col collapsed="false" customWidth="true" hidden="false" outlineLevel="0" max="1" min="1" style="0" width="16.71"/>
    <col collapsed="false" customWidth="true" hidden="false" outlineLevel="0" max="2" min="2" style="0" width="21.43"/>
    <col collapsed="false" customWidth="true" hidden="false" outlineLevel="0" max="1025" min="3" style="0" width="8.67"/>
  </cols>
  <sheetData>
    <row r="1" customFormat="false" ht="15" hidden="false" customHeight="false" outlineLevel="0" collapsed="false">
      <c r="A1" s="127" t="s">
        <v>222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</row>
    <row r="2" customFormat="false" ht="15" hidden="false" customHeight="false" outlineLevel="0" collapsed="false">
      <c r="A2" s="128"/>
      <c r="B2" s="128" t="s">
        <v>1</v>
      </c>
      <c r="C2" s="129" t="s">
        <v>223</v>
      </c>
      <c r="D2" s="129"/>
      <c r="E2" s="129"/>
      <c r="F2" s="129"/>
      <c r="G2" s="129"/>
      <c r="H2" s="129"/>
      <c r="I2" s="129"/>
      <c r="J2" s="129"/>
      <c r="K2" s="128"/>
    </row>
    <row r="3" customFormat="false" ht="15" hidden="false" customHeight="true" outlineLevel="0" collapsed="false">
      <c r="A3" s="23" t="s">
        <v>2</v>
      </c>
      <c r="B3" s="108" t="s">
        <v>121</v>
      </c>
      <c r="C3" s="130"/>
      <c r="D3" s="105"/>
      <c r="E3" s="105"/>
      <c r="F3" s="131" t="s">
        <v>224</v>
      </c>
      <c r="G3" s="105"/>
      <c r="H3" s="105"/>
      <c r="I3" s="107"/>
      <c r="J3" s="132"/>
      <c r="K3" s="133" t="s">
        <v>80</v>
      </c>
    </row>
    <row r="4" customFormat="false" ht="25.5" hidden="false" customHeight="false" outlineLevel="0" collapsed="false">
      <c r="A4" s="23"/>
      <c r="B4" s="108"/>
      <c r="C4" s="134"/>
      <c r="D4" s="135" t="s">
        <v>225</v>
      </c>
      <c r="E4" s="136" t="s">
        <v>226</v>
      </c>
      <c r="F4" s="137" t="s">
        <v>227</v>
      </c>
      <c r="G4" s="136" t="s">
        <v>228</v>
      </c>
      <c r="H4" s="136" t="s">
        <v>229</v>
      </c>
      <c r="I4" s="135"/>
      <c r="J4" s="132" t="s">
        <v>230</v>
      </c>
      <c r="K4" s="138"/>
    </row>
    <row r="5" customFormat="false" ht="15" hidden="false" customHeight="false" outlineLevel="0" collapsed="false">
      <c r="A5" s="23"/>
      <c r="B5" s="108"/>
      <c r="C5" s="139" t="s">
        <v>231</v>
      </c>
      <c r="D5" s="140" t="n">
        <v>10000</v>
      </c>
      <c r="E5" s="140" t="n">
        <v>15000</v>
      </c>
      <c r="F5" s="140" t="n">
        <v>20000</v>
      </c>
      <c r="G5" s="140" t="n">
        <v>30000</v>
      </c>
      <c r="H5" s="140" t="n">
        <v>50000</v>
      </c>
      <c r="I5" s="89" t="s">
        <v>232</v>
      </c>
      <c r="J5" s="141" t="s">
        <v>233</v>
      </c>
      <c r="K5" s="139"/>
    </row>
    <row r="6" customFormat="false" ht="15" hidden="false" customHeight="false" outlineLevel="0" collapsed="false">
      <c r="A6" s="25" t="s">
        <v>17</v>
      </c>
      <c r="B6" s="24" t="s">
        <v>18</v>
      </c>
      <c r="C6" s="82" t="n">
        <v>0</v>
      </c>
      <c r="D6" s="82" t="n">
        <v>0</v>
      </c>
      <c r="E6" s="82" t="n">
        <v>0</v>
      </c>
      <c r="F6" s="82" t="n">
        <v>0</v>
      </c>
      <c r="G6" s="82" t="n">
        <v>0</v>
      </c>
      <c r="H6" s="82" t="n">
        <v>0</v>
      </c>
      <c r="I6" s="82" t="n">
        <v>0</v>
      </c>
      <c r="J6" s="82" t="n">
        <v>0</v>
      </c>
      <c r="K6" s="82" t="n">
        <v>0</v>
      </c>
    </row>
    <row r="7" customFormat="false" ht="15" hidden="false" customHeight="false" outlineLevel="0" collapsed="false">
      <c r="A7" s="26"/>
      <c r="B7" s="24" t="s">
        <v>19</v>
      </c>
      <c r="C7" s="82" t="n">
        <v>0</v>
      </c>
      <c r="D7" s="82" t="n">
        <v>0</v>
      </c>
      <c r="E7" s="82" t="n">
        <v>1</v>
      </c>
      <c r="F7" s="82" t="n">
        <v>0</v>
      </c>
      <c r="G7" s="82" t="n">
        <v>1</v>
      </c>
      <c r="H7" s="82" t="n">
        <v>1</v>
      </c>
      <c r="I7" s="82" t="n">
        <v>0</v>
      </c>
      <c r="J7" s="82" t="n">
        <v>1</v>
      </c>
      <c r="K7" s="82" t="n">
        <v>4</v>
      </c>
    </row>
    <row r="8" customFormat="false" ht="15" hidden="false" customHeight="false" outlineLevel="0" collapsed="false">
      <c r="A8" s="26"/>
      <c r="B8" s="24" t="s">
        <v>20</v>
      </c>
      <c r="C8" s="82" t="n">
        <v>0</v>
      </c>
      <c r="D8" s="82" t="n">
        <v>0</v>
      </c>
      <c r="E8" s="82" t="n">
        <v>0</v>
      </c>
      <c r="F8" s="82" t="n">
        <v>0</v>
      </c>
      <c r="G8" s="82" t="n">
        <v>0</v>
      </c>
      <c r="H8" s="82" t="n">
        <v>0</v>
      </c>
      <c r="I8" s="82" t="n">
        <v>0</v>
      </c>
      <c r="J8" s="82" t="n">
        <v>0</v>
      </c>
      <c r="K8" s="82" t="n">
        <v>0</v>
      </c>
    </row>
    <row r="9" customFormat="false" ht="15" hidden="false" customHeight="false" outlineLevel="0" collapsed="false">
      <c r="A9" s="26"/>
      <c r="B9" s="24" t="s">
        <v>21</v>
      </c>
      <c r="C9" s="82" t="n">
        <v>0</v>
      </c>
      <c r="D9" s="82" t="n">
        <v>0</v>
      </c>
      <c r="E9" s="82" t="n">
        <v>0</v>
      </c>
      <c r="F9" s="82" t="n">
        <v>0</v>
      </c>
      <c r="G9" s="82" t="n">
        <v>0</v>
      </c>
      <c r="H9" s="82" t="n">
        <v>1</v>
      </c>
      <c r="I9" s="82" t="n">
        <v>1</v>
      </c>
      <c r="J9" s="82" t="n">
        <v>0</v>
      </c>
      <c r="K9" s="82" t="n">
        <v>2</v>
      </c>
    </row>
    <row r="10" customFormat="false" ht="15" hidden="false" customHeight="false" outlineLevel="0" collapsed="false">
      <c r="A10" s="27"/>
      <c r="B10" s="28" t="s">
        <v>22</v>
      </c>
      <c r="C10" s="83" t="n">
        <v>0</v>
      </c>
      <c r="D10" s="83" t="n">
        <v>0</v>
      </c>
      <c r="E10" s="83" t="n">
        <v>1</v>
      </c>
      <c r="F10" s="83" t="n">
        <v>0</v>
      </c>
      <c r="G10" s="83" t="n">
        <v>1</v>
      </c>
      <c r="H10" s="83" t="n">
        <v>2</v>
      </c>
      <c r="I10" s="83" t="n">
        <v>1</v>
      </c>
      <c r="J10" s="83" t="n">
        <v>1</v>
      </c>
      <c r="K10" s="83" t="n">
        <v>6</v>
      </c>
    </row>
    <row r="11" customFormat="false" ht="15" hidden="false" customHeight="false" outlineLevel="0" collapsed="false">
      <c r="A11" s="25" t="s">
        <v>23</v>
      </c>
      <c r="B11" s="24" t="s">
        <v>24</v>
      </c>
      <c r="C11" s="82" t="n">
        <v>0</v>
      </c>
      <c r="D11" s="82" t="n">
        <v>0</v>
      </c>
      <c r="E11" s="82" t="n">
        <v>0</v>
      </c>
      <c r="F11" s="82" t="n">
        <v>0</v>
      </c>
      <c r="G11" s="82" t="n">
        <v>0</v>
      </c>
      <c r="H11" s="82" t="n">
        <v>0</v>
      </c>
      <c r="I11" s="82" t="n">
        <v>0</v>
      </c>
      <c r="J11" s="82" t="n">
        <v>0</v>
      </c>
      <c r="K11" s="82" t="n">
        <v>0</v>
      </c>
    </row>
    <row r="12" customFormat="false" ht="15" hidden="false" customHeight="false" outlineLevel="0" collapsed="false">
      <c r="A12" s="29"/>
      <c r="B12" s="24" t="s">
        <v>25</v>
      </c>
      <c r="C12" s="82" t="n">
        <v>0</v>
      </c>
      <c r="D12" s="82" t="n">
        <v>1</v>
      </c>
      <c r="E12" s="82" t="n">
        <v>1</v>
      </c>
      <c r="F12" s="82" t="n">
        <v>0</v>
      </c>
      <c r="G12" s="82" t="n">
        <v>1</v>
      </c>
      <c r="H12" s="82" t="n">
        <v>0</v>
      </c>
      <c r="I12" s="82" t="n">
        <v>0</v>
      </c>
      <c r="J12" s="82" t="n">
        <v>0</v>
      </c>
      <c r="K12" s="82" t="n">
        <v>3</v>
      </c>
    </row>
    <row r="13" customFormat="false" ht="15" hidden="false" customHeight="false" outlineLevel="0" collapsed="false">
      <c r="A13" s="29"/>
      <c r="B13" s="24" t="s">
        <v>26</v>
      </c>
      <c r="C13" s="82" t="n">
        <v>0</v>
      </c>
      <c r="D13" s="82" t="n">
        <v>0</v>
      </c>
      <c r="E13" s="82" t="n">
        <v>0</v>
      </c>
      <c r="F13" s="82" t="n">
        <v>0</v>
      </c>
      <c r="G13" s="82" t="n">
        <v>0</v>
      </c>
      <c r="H13" s="82" t="n">
        <v>1</v>
      </c>
      <c r="I13" s="82" t="n">
        <v>0</v>
      </c>
      <c r="J13" s="82" t="n">
        <v>0</v>
      </c>
      <c r="K13" s="82" t="n">
        <v>1</v>
      </c>
    </row>
    <row r="14" customFormat="false" ht="15" hidden="false" customHeight="false" outlineLevel="0" collapsed="false">
      <c r="A14" s="29"/>
      <c r="B14" s="24" t="s">
        <v>27</v>
      </c>
      <c r="C14" s="82" t="n">
        <v>1</v>
      </c>
      <c r="D14" s="82" t="n">
        <v>0</v>
      </c>
      <c r="E14" s="82" t="n">
        <v>0</v>
      </c>
      <c r="F14" s="82" t="n">
        <v>0</v>
      </c>
      <c r="G14" s="82" t="n">
        <v>0</v>
      </c>
      <c r="H14" s="82" t="n">
        <v>0</v>
      </c>
      <c r="I14" s="82" t="n">
        <v>0</v>
      </c>
      <c r="J14" s="82" t="n">
        <v>1</v>
      </c>
      <c r="K14" s="82" t="n">
        <v>2</v>
      </c>
    </row>
    <row r="15" customFormat="false" ht="15" hidden="false" customHeight="false" outlineLevel="0" collapsed="false">
      <c r="A15" s="27"/>
      <c r="B15" s="28" t="s">
        <v>22</v>
      </c>
      <c r="C15" s="27" t="n">
        <v>1</v>
      </c>
      <c r="D15" s="27" t="n">
        <v>1</v>
      </c>
      <c r="E15" s="27" t="n">
        <v>1</v>
      </c>
      <c r="F15" s="27" t="n">
        <v>0</v>
      </c>
      <c r="G15" s="27" t="n">
        <v>1</v>
      </c>
      <c r="H15" s="27" t="n">
        <v>1</v>
      </c>
      <c r="I15" s="27" t="n">
        <v>0</v>
      </c>
      <c r="J15" s="27" t="n">
        <v>1</v>
      </c>
      <c r="K15" s="27" t="n">
        <v>6</v>
      </c>
    </row>
    <row r="16" customFormat="false" ht="15" hidden="false" customHeight="false" outlineLevel="0" collapsed="false">
      <c r="A16" s="25" t="s">
        <v>28</v>
      </c>
      <c r="B16" s="24" t="s">
        <v>29</v>
      </c>
      <c r="C16" s="82" t="n">
        <v>0</v>
      </c>
      <c r="D16" s="82" t="n">
        <v>0</v>
      </c>
      <c r="E16" s="82" t="n">
        <v>0</v>
      </c>
      <c r="F16" s="82" t="n">
        <v>0</v>
      </c>
      <c r="G16" s="82" t="n">
        <v>0</v>
      </c>
      <c r="H16" s="82" t="n">
        <v>0</v>
      </c>
      <c r="I16" s="82" t="n">
        <v>0</v>
      </c>
      <c r="J16" s="82" t="n">
        <v>0</v>
      </c>
      <c r="K16" s="82" t="n">
        <v>0</v>
      </c>
    </row>
    <row r="17" customFormat="false" ht="15" hidden="false" customHeight="false" outlineLevel="0" collapsed="false">
      <c r="A17" s="27"/>
      <c r="B17" s="28" t="s">
        <v>22</v>
      </c>
      <c r="C17" s="27" t="n">
        <v>0</v>
      </c>
      <c r="D17" s="27" t="n">
        <v>0</v>
      </c>
      <c r="E17" s="27" t="n">
        <v>0</v>
      </c>
      <c r="F17" s="27" t="n">
        <v>0</v>
      </c>
      <c r="G17" s="27" t="n">
        <v>0</v>
      </c>
      <c r="H17" s="27" t="n">
        <v>0</v>
      </c>
      <c r="I17" s="27" t="n">
        <v>0</v>
      </c>
      <c r="J17" s="27" t="n">
        <v>0</v>
      </c>
      <c r="K17" s="27" t="n">
        <v>0</v>
      </c>
    </row>
    <row r="18" customFormat="false" ht="15" hidden="false" customHeight="false" outlineLevel="0" collapsed="false">
      <c r="A18" s="25" t="s">
        <v>30</v>
      </c>
      <c r="B18" s="24" t="s">
        <v>31</v>
      </c>
      <c r="C18" s="82" t="n">
        <v>0</v>
      </c>
      <c r="D18" s="82" t="n">
        <v>0</v>
      </c>
      <c r="E18" s="82" t="n">
        <v>0</v>
      </c>
      <c r="F18" s="82" t="n">
        <v>0</v>
      </c>
      <c r="G18" s="82" t="n">
        <v>0</v>
      </c>
      <c r="H18" s="82" t="n">
        <v>0</v>
      </c>
      <c r="I18" s="82" t="n">
        <v>0</v>
      </c>
      <c r="J18" s="82" t="n">
        <v>0</v>
      </c>
      <c r="K18" s="82" t="n">
        <v>0</v>
      </c>
    </row>
    <row r="19" customFormat="false" ht="15" hidden="false" customHeight="false" outlineLevel="0" collapsed="false">
      <c r="A19" s="25"/>
      <c r="B19" s="24" t="s">
        <v>32</v>
      </c>
      <c r="C19" s="82" t="n">
        <v>0</v>
      </c>
      <c r="D19" s="82" t="n">
        <v>0</v>
      </c>
      <c r="E19" s="82" t="n">
        <v>0</v>
      </c>
      <c r="F19" s="82" t="n">
        <v>0</v>
      </c>
      <c r="G19" s="82" t="n">
        <v>0</v>
      </c>
      <c r="H19" s="82" t="n">
        <v>0</v>
      </c>
      <c r="I19" s="82" t="n">
        <v>1</v>
      </c>
      <c r="J19" s="82" t="n">
        <v>0</v>
      </c>
      <c r="K19" s="82" t="n">
        <v>1</v>
      </c>
    </row>
    <row r="20" customFormat="false" ht="15" hidden="false" customHeight="false" outlineLevel="0" collapsed="false">
      <c r="A20" s="25"/>
      <c r="B20" s="24" t="s">
        <v>33</v>
      </c>
      <c r="C20" s="82" t="n">
        <v>0</v>
      </c>
      <c r="D20" s="82" t="n">
        <v>0</v>
      </c>
      <c r="E20" s="82" t="n">
        <v>0</v>
      </c>
      <c r="F20" s="82" t="n">
        <v>0</v>
      </c>
      <c r="G20" s="82" t="n">
        <v>0</v>
      </c>
      <c r="H20" s="82" t="n">
        <v>0</v>
      </c>
      <c r="I20" s="82" t="n">
        <v>0</v>
      </c>
      <c r="J20" s="82" t="n">
        <v>0</v>
      </c>
      <c r="K20" s="82" t="n">
        <v>0</v>
      </c>
    </row>
    <row r="21" customFormat="false" ht="15" hidden="false" customHeight="false" outlineLevel="0" collapsed="false">
      <c r="A21" s="27"/>
      <c r="B21" s="28" t="s">
        <v>22</v>
      </c>
      <c r="C21" s="27" t="n">
        <v>0</v>
      </c>
      <c r="D21" s="27" t="n">
        <v>0</v>
      </c>
      <c r="E21" s="27" t="n">
        <v>0</v>
      </c>
      <c r="F21" s="27" t="n">
        <v>0</v>
      </c>
      <c r="G21" s="27" t="n">
        <v>0</v>
      </c>
      <c r="H21" s="27" t="n">
        <v>0</v>
      </c>
      <c r="I21" s="27" t="n">
        <v>1</v>
      </c>
      <c r="J21" s="27" t="n">
        <v>0</v>
      </c>
      <c r="K21" s="27" t="n">
        <v>1</v>
      </c>
    </row>
    <row r="22" customFormat="false" ht="15" hidden="false" customHeight="false" outlineLevel="0" collapsed="false">
      <c r="A22" s="25" t="s">
        <v>34</v>
      </c>
      <c r="B22" s="24" t="s">
        <v>35</v>
      </c>
      <c r="C22" s="82" t="n">
        <v>1</v>
      </c>
      <c r="D22" s="82" t="n">
        <v>0</v>
      </c>
      <c r="E22" s="82" t="n">
        <v>0</v>
      </c>
      <c r="F22" s="82" t="n">
        <v>2</v>
      </c>
      <c r="G22" s="82" t="n">
        <v>0</v>
      </c>
      <c r="H22" s="82" t="n">
        <v>0</v>
      </c>
      <c r="I22" s="82" t="n">
        <v>0</v>
      </c>
      <c r="J22" s="82" t="n">
        <v>0</v>
      </c>
      <c r="K22" s="82" t="n">
        <v>3</v>
      </c>
    </row>
    <row r="23" customFormat="false" ht="15" hidden="false" customHeight="false" outlineLevel="0" collapsed="false">
      <c r="A23" s="25"/>
      <c r="B23" s="24" t="s">
        <v>36</v>
      </c>
      <c r="C23" s="82" t="n">
        <v>0</v>
      </c>
      <c r="D23" s="82" t="n">
        <v>0</v>
      </c>
      <c r="E23" s="82" t="n">
        <v>0</v>
      </c>
      <c r="F23" s="82" t="n">
        <v>0</v>
      </c>
      <c r="G23" s="82" t="n">
        <v>0</v>
      </c>
      <c r="H23" s="82" t="n">
        <v>2</v>
      </c>
      <c r="I23" s="82" t="n">
        <v>0</v>
      </c>
      <c r="J23" s="82" t="n">
        <v>0</v>
      </c>
      <c r="K23" s="82" t="n">
        <v>2</v>
      </c>
    </row>
    <row r="24" customFormat="false" ht="15" hidden="false" customHeight="false" outlineLevel="0" collapsed="false">
      <c r="A24" s="25"/>
      <c r="B24" s="24" t="s">
        <v>37</v>
      </c>
      <c r="C24" s="82" t="n">
        <v>0</v>
      </c>
      <c r="D24" s="82" t="n">
        <v>1</v>
      </c>
      <c r="E24" s="82" t="n">
        <v>0</v>
      </c>
      <c r="F24" s="82" t="n">
        <v>0</v>
      </c>
      <c r="G24" s="82" t="n">
        <v>0</v>
      </c>
      <c r="H24" s="82" t="n">
        <v>0</v>
      </c>
      <c r="I24" s="82" t="n">
        <v>0</v>
      </c>
      <c r="J24" s="82" t="n">
        <v>0</v>
      </c>
      <c r="K24" s="82" t="n">
        <v>1</v>
      </c>
    </row>
    <row r="25" customFormat="false" ht="15" hidden="false" customHeight="false" outlineLevel="0" collapsed="false">
      <c r="A25" s="27"/>
      <c r="B25" s="28" t="s">
        <v>22</v>
      </c>
      <c r="C25" s="27" t="n">
        <v>1</v>
      </c>
      <c r="D25" s="27" t="n">
        <v>1</v>
      </c>
      <c r="E25" s="27" t="n">
        <v>0</v>
      </c>
      <c r="F25" s="27" t="n">
        <v>2</v>
      </c>
      <c r="G25" s="27" t="n">
        <v>0</v>
      </c>
      <c r="H25" s="27" t="n">
        <v>2</v>
      </c>
      <c r="I25" s="27" t="n">
        <v>0</v>
      </c>
      <c r="J25" s="27" t="n">
        <v>0</v>
      </c>
      <c r="K25" s="27" t="n">
        <v>6</v>
      </c>
    </row>
    <row r="26" customFormat="false" ht="15" hidden="false" customHeight="false" outlineLevel="0" collapsed="false">
      <c r="A26" s="25" t="s">
        <v>38</v>
      </c>
      <c r="B26" s="24" t="s">
        <v>39</v>
      </c>
      <c r="C26" s="82" t="n">
        <v>0</v>
      </c>
      <c r="D26" s="82" t="n">
        <v>0</v>
      </c>
      <c r="E26" s="82" t="n">
        <v>0</v>
      </c>
      <c r="F26" s="82" t="n">
        <v>0</v>
      </c>
      <c r="G26" s="82" t="n">
        <v>0</v>
      </c>
      <c r="H26" s="82" t="n">
        <v>0</v>
      </c>
      <c r="I26" s="82" t="n">
        <v>0</v>
      </c>
      <c r="J26" s="82" t="n">
        <v>0</v>
      </c>
      <c r="K26" s="82" t="n">
        <v>0</v>
      </c>
    </row>
    <row r="27" customFormat="false" ht="15" hidden="false" customHeight="false" outlineLevel="0" collapsed="false">
      <c r="A27" s="25"/>
      <c r="B27" s="24" t="s">
        <v>40</v>
      </c>
      <c r="C27" s="82" t="n">
        <v>0</v>
      </c>
      <c r="D27" s="82" t="n">
        <v>1</v>
      </c>
      <c r="E27" s="82" t="n">
        <v>0</v>
      </c>
      <c r="F27" s="82" t="n">
        <v>0</v>
      </c>
      <c r="G27" s="82" t="n">
        <v>1</v>
      </c>
      <c r="H27" s="82" t="n">
        <v>0</v>
      </c>
      <c r="I27" s="82" t="n">
        <v>0</v>
      </c>
      <c r="J27" s="82" t="n">
        <v>0</v>
      </c>
      <c r="K27" s="82" t="n">
        <v>2</v>
      </c>
    </row>
    <row r="28" customFormat="false" ht="15" hidden="false" customHeight="false" outlineLevel="0" collapsed="false">
      <c r="A28" s="25"/>
      <c r="B28" s="24" t="s">
        <v>41</v>
      </c>
      <c r="C28" s="82" t="n">
        <v>3</v>
      </c>
      <c r="D28" s="82" t="n">
        <v>2</v>
      </c>
      <c r="E28" s="82" t="n">
        <v>2</v>
      </c>
      <c r="F28" s="82" t="n">
        <v>4</v>
      </c>
      <c r="G28" s="82" t="n">
        <v>1</v>
      </c>
      <c r="H28" s="82" t="n">
        <v>2</v>
      </c>
      <c r="I28" s="82" t="n">
        <v>2</v>
      </c>
      <c r="J28" s="82" t="n">
        <v>0</v>
      </c>
      <c r="K28" s="82" t="n">
        <v>16</v>
      </c>
    </row>
    <row r="29" customFormat="false" ht="15" hidden="false" customHeight="false" outlineLevel="0" collapsed="false">
      <c r="A29" s="25"/>
      <c r="B29" s="24" t="s">
        <v>42</v>
      </c>
      <c r="C29" s="82" t="n">
        <v>0</v>
      </c>
      <c r="D29" s="82" t="n">
        <v>1</v>
      </c>
      <c r="E29" s="82" t="n">
        <v>0</v>
      </c>
      <c r="F29" s="82" t="n">
        <v>0</v>
      </c>
      <c r="G29" s="82" t="n">
        <v>0</v>
      </c>
      <c r="H29" s="82" t="n">
        <v>1</v>
      </c>
      <c r="I29" s="82" t="n">
        <v>0</v>
      </c>
      <c r="J29" s="82" t="n">
        <v>0</v>
      </c>
      <c r="K29" s="82" t="n">
        <v>2</v>
      </c>
    </row>
    <row r="30" customFormat="false" ht="15" hidden="false" customHeight="false" outlineLevel="0" collapsed="false">
      <c r="A30" s="27"/>
      <c r="B30" s="28" t="s">
        <v>22</v>
      </c>
      <c r="C30" s="27" t="n">
        <v>3</v>
      </c>
      <c r="D30" s="27" t="n">
        <v>4</v>
      </c>
      <c r="E30" s="27" t="n">
        <v>2</v>
      </c>
      <c r="F30" s="27" t="n">
        <v>4</v>
      </c>
      <c r="G30" s="27" t="n">
        <v>2</v>
      </c>
      <c r="H30" s="27" t="n">
        <v>3</v>
      </c>
      <c r="I30" s="27" t="n">
        <v>2</v>
      </c>
      <c r="J30" s="27" t="n">
        <v>0</v>
      </c>
      <c r="K30" s="27" t="n">
        <v>20</v>
      </c>
    </row>
    <row r="31" customFormat="false" ht="15" hidden="false" customHeight="false" outlineLevel="0" collapsed="false">
      <c r="A31" s="25" t="s">
        <v>43</v>
      </c>
      <c r="B31" s="24" t="s">
        <v>44</v>
      </c>
      <c r="C31" s="82" t="n">
        <v>2</v>
      </c>
      <c r="D31" s="82" t="n">
        <v>4</v>
      </c>
      <c r="E31" s="82" t="n">
        <v>8</v>
      </c>
      <c r="F31" s="82" t="n">
        <v>1</v>
      </c>
      <c r="G31" s="82" t="n">
        <v>1</v>
      </c>
      <c r="H31" s="82" t="n">
        <v>2</v>
      </c>
      <c r="I31" s="82" t="n">
        <v>0</v>
      </c>
      <c r="J31" s="82" t="n">
        <v>1</v>
      </c>
      <c r="K31" s="82" t="n">
        <v>19</v>
      </c>
    </row>
    <row r="32" customFormat="false" ht="15" hidden="false" customHeight="false" outlineLevel="0" collapsed="false">
      <c r="A32" s="25"/>
      <c r="B32" s="24" t="s">
        <v>45</v>
      </c>
      <c r="C32" s="82" t="n">
        <v>0</v>
      </c>
      <c r="D32" s="82" t="n">
        <v>0</v>
      </c>
      <c r="E32" s="82" t="n">
        <v>0</v>
      </c>
      <c r="F32" s="82" t="n">
        <v>0</v>
      </c>
      <c r="G32" s="82" t="n">
        <v>0</v>
      </c>
      <c r="H32" s="82" t="n">
        <v>0</v>
      </c>
      <c r="I32" s="82" t="n">
        <v>0</v>
      </c>
      <c r="J32" s="82" t="n">
        <v>1</v>
      </c>
      <c r="K32" s="82" t="n">
        <v>1</v>
      </c>
    </row>
    <row r="33" customFormat="false" ht="15" hidden="false" customHeight="false" outlineLevel="0" collapsed="false">
      <c r="A33" s="25"/>
      <c r="B33" s="24" t="s">
        <v>46</v>
      </c>
      <c r="C33" s="82" t="n">
        <v>5</v>
      </c>
      <c r="D33" s="82" t="n">
        <v>16</v>
      </c>
      <c r="E33" s="82" t="n">
        <v>17</v>
      </c>
      <c r="F33" s="82" t="n">
        <v>2</v>
      </c>
      <c r="G33" s="82" t="n">
        <v>6</v>
      </c>
      <c r="H33" s="82" t="n">
        <v>2</v>
      </c>
      <c r="I33" s="82" t="n">
        <v>2</v>
      </c>
      <c r="J33" s="82" t="n">
        <v>7</v>
      </c>
      <c r="K33" s="82" t="n">
        <v>57</v>
      </c>
    </row>
    <row r="34" customFormat="false" ht="15" hidden="false" customHeight="false" outlineLevel="0" collapsed="false">
      <c r="A34" s="27"/>
      <c r="B34" s="28" t="s">
        <v>22</v>
      </c>
      <c r="C34" s="27" t="n">
        <v>7</v>
      </c>
      <c r="D34" s="27" t="n">
        <v>20</v>
      </c>
      <c r="E34" s="27" t="n">
        <v>25</v>
      </c>
      <c r="F34" s="27" t="n">
        <v>3</v>
      </c>
      <c r="G34" s="27" t="n">
        <v>7</v>
      </c>
      <c r="H34" s="27" t="n">
        <v>4</v>
      </c>
      <c r="I34" s="27" t="n">
        <v>2</v>
      </c>
      <c r="J34" s="27" t="n">
        <v>9</v>
      </c>
      <c r="K34" s="27" t="n">
        <v>77</v>
      </c>
    </row>
    <row r="35" customFormat="false" ht="15" hidden="false" customHeight="false" outlineLevel="0" collapsed="false">
      <c r="A35" s="25" t="s">
        <v>47</v>
      </c>
      <c r="B35" s="24" t="s">
        <v>91</v>
      </c>
      <c r="C35" s="82" t="n">
        <v>0</v>
      </c>
      <c r="D35" s="82" t="n">
        <v>0</v>
      </c>
      <c r="E35" s="82" t="n">
        <v>0</v>
      </c>
      <c r="F35" s="82" t="n">
        <v>0</v>
      </c>
      <c r="G35" s="82" t="n">
        <v>0</v>
      </c>
      <c r="H35" s="82" t="n">
        <v>0</v>
      </c>
      <c r="I35" s="82" t="n">
        <v>0</v>
      </c>
      <c r="J35" s="82" t="n">
        <v>0</v>
      </c>
      <c r="K35" s="82" t="n">
        <v>0</v>
      </c>
    </row>
    <row r="36" customFormat="false" ht="15" hidden="false" customHeight="false" outlineLevel="0" collapsed="false">
      <c r="A36" s="25"/>
      <c r="B36" s="24" t="s">
        <v>92</v>
      </c>
      <c r="C36" s="82" t="n">
        <v>0</v>
      </c>
      <c r="D36" s="82" t="n">
        <v>5</v>
      </c>
      <c r="E36" s="82" t="n">
        <v>6</v>
      </c>
      <c r="F36" s="82" t="n">
        <v>0</v>
      </c>
      <c r="G36" s="82" t="n">
        <v>3</v>
      </c>
      <c r="H36" s="82" t="n">
        <v>3</v>
      </c>
      <c r="I36" s="82" t="n">
        <v>1</v>
      </c>
      <c r="J36" s="82" t="n">
        <v>6</v>
      </c>
      <c r="K36" s="82" t="n">
        <v>24</v>
      </c>
    </row>
    <row r="37" customFormat="false" ht="15" hidden="false" customHeight="false" outlineLevel="0" collapsed="false">
      <c r="A37" s="25"/>
      <c r="B37" s="24" t="s">
        <v>93</v>
      </c>
      <c r="C37" s="82" t="n">
        <v>0</v>
      </c>
      <c r="D37" s="82" t="n">
        <v>0</v>
      </c>
      <c r="E37" s="82" t="n">
        <v>0</v>
      </c>
      <c r="F37" s="82" t="n">
        <v>0</v>
      </c>
      <c r="G37" s="82" t="n">
        <v>0</v>
      </c>
      <c r="H37" s="82" t="n">
        <v>0</v>
      </c>
      <c r="I37" s="82" t="n">
        <v>0</v>
      </c>
      <c r="J37" s="82" t="n">
        <v>0</v>
      </c>
      <c r="K37" s="82" t="n">
        <v>0</v>
      </c>
    </row>
    <row r="38" customFormat="false" ht="15" hidden="false" customHeight="false" outlineLevel="0" collapsed="false">
      <c r="A38" s="25"/>
      <c r="B38" s="24" t="s">
        <v>94</v>
      </c>
      <c r="C38" s="82" t="n">
        <v>0</v>
      </c>
      <c r="D38" s="82" t="n">
        <v>7</v>
      </c>
      <c r="E38" s="82" t="n">
        <v>3</v>
      </c>
      <c r="F38" s="82" t="n">
        <v>2</v>
      </c>
      <c r="G38" s="82" t="n">
        <v>3</v>
      </c>
      <c r="H38" s="82" t="n">
        <v>2</v>
      </c>
      <c r="I38" s="82" t="n">
        <v>3</v>
      </c>
      <c r="J38" s="82" t="n">
        <v>0</v>
      </c>
      <c r="K38" s="82" t="n">
        <v>20</v>
      </c>
    </row>
    <row r="39" customFormat="false" ht="15" hidden="false" customHeight="false" outlineLevel="0" collapsed="false">
      <c r="A39" s="25"/>
      <c r="B39" s="24" t="s">
        <v>95</v>
      </c>
      <c r="C39" s="82" t="n">
        <v>1</v>
      </c>
      <c r="D39" s="82" t="n">
        <v>9</v>
      </c>
      <c r="E39" s="82" t="n">
        <v>3</v>
      </c>
      <c r="F39" s="82" t="n">
        <v>2</v>
      </c>
      <c r="G39" s="82" t="n">
        <v>2</v>
      </c>
      <c r="H39" s="82" t="n">
        <v>1</v>
      </c>
      <c r="I39" s="82" t="n">
        <v>2</v>
      </c>
      <c r="J39" s="82" t="n">
        <v>5</v>
      </c>
      <c r="K39" s="82" t="n">
        <v>25</v>
      </c>
    </row>
    <row r="40" customFormat="false" ht="15" hidden="false" customHeight="false" outlineLevel="0" collapsed="false">
      <c r="A40" s="25"/>
      <c r="B40" s="24" t="s">
        <v>96</v>
      </c>
      <c r="C40" s="82" t="n">
        <v>2</v>
      </c>
      <c r="D40" s="82" t="n">
        <v>7</v>
      </c>
      <c r="E40" s="82" t="n">
        <v>3</v>
      </c>
      <c r="F40" s="82" t="n">
        <v>5</v>
      </c>
      <c r="G40" s="82" t="n">
        <v>5</v>
      </c>
      <c r="H40" s="82" t="n">
        <v>3</v>
      </c>
      <c r="I40" s="82" t="n">
        <v>0</v>
      </c>
      <c r="J40" s="82" t="n">
        <v>4</v>
      </c>
      <c r="K40" s="82" t="n">
        <v>29</v>
      </c>
    </row>
    <row r="41" customFormat="false" ht="15" hidden="false" customHeight="false" outlineLevel="0" collapsed="false">
      <c r="A41" s="25"/>
      <c r="B41" s="24" t="s">
        <v>97</v>
      </c>
      <c r="C41" s="82" t="n">
        <v>0</v>
      </c>
      <c r="D41" s="82" t="n">
        <v>1</v>
      </c>
      <c r="E41" s="82" t="n">
        <v>3</v>
      </c>
      <c r="F41" s="82" t="n">
        <v>2</v>
      </c>
      <c r="G41" s="82" t="n">
        <v>2</v>
      </c>
      <c r="H41" s="82" t="n">
        <v>3</v>
      </c>
      <c r="I41" s="82" t="n">
        <v>0</v>
      </c>
      <c r="J41" s="82" t="n">
        <v>1</v>
      </c>
      <c r="K41" s="82" t="n">
        <v>12</v>
      </c>
    </row>
    <row r="42" customFormat="false" ht="15" hidden="false" customHeight="false" outlineLevel="0" collapsed="false">
      <c r="A42" s="25"/>
      <c r="B42" s="24" t="s">
        <v>98</v>
      </c>
      <c r="C42" s="82" t="n">
        <v>0</v>
      </c>
      <c r="D42" s="82" t="n">
        <v>0</v>
      </c>
      <c r="E42" s="82" t="n">
        <v>0</v>
      </c>
      <c r="F42" s="82" t="n">
        <v>0</v>
      </c>
      <c r="G42" s="82" t="n">
        <v>0</v>
      </c>
      <c r="H42" s="82" t="n">
        <v>0</v>
      </c>
      <c r="I42" s="82" t="n">
        <v>0</v>
      </c>
      <c r="J42" s="82" t="n">
        <v>0</v>
      </c>
      <c r="K42" s="82" t="n">
        <v>0</v>
      </c>
    </row>
    <row r="43" customFormat="false" ht="15" hidden="false" customHeight="false" outlineLevel="0" collapsed="false">
      <c r="A43" s="25"/>
      <c r="B43" s="24" t="s">
        <v>99</v>
      </c>
      <c r="C43" s="82" t="n">
        <v>1</v>
      </c>
      <c r="D43" s="82" t="n">
        <v>2</v>
      </c>
      <c r="E43" s="82" t="n">
        <v>0</v>
      </c>
      <c r="F43" s="82" t="n">
        <v>1</v>
      </c>
      <c r="G43" s="82" t="n">
        <v>2</v>
      </c>
      <c r="H43" s="82" t="n">
        <v>1</v>
      </c>
      <c r="I43" s="82" t="n">
        <v>0</v>
      </c>
      <c r="J43" s="82" t="n">
        <v>0</v>
      </c>
      <c r="K43" s="82" t="n">
        <v>7</v>
      </c>
    </row>
    <row r="44" customFormat="false" ht="15" hidden="false" customHeight="false" outlineLevel="0" collapsed="false">
      <c r="A44" s="27"/>
      <c r="B44" s="28" t="s">
        <v>22</v>
      </c>
      <c r="C44" s="27" t="n">
        <v>4</v>
      </c>
      <c r="D44" s="27" t="n">
        <v>31</v>
      </c>
      <c r="E44" s="27" t="n">
        <v>18</v>
      </c>
      <c r="F44" s="27" t="n">
        <v>12</v>
      </c>
      <c r="G44" s="27" t="n">
        <v>17</v>
      </c>
      <c r="H44" s="27" t="n">
        <v>13</v>
      </c>
      <c r="I44" s="27" t="n">
        <v>6</v>
      </c>
      <c r="J44" s="27" t="n">
        <v>16</v>
      </c>
      <c r="K44" s="27" t="n">
        <v>117</v>
      </c>
    </row>
    <row r="45" customFormat="false" ht="15" hidden="false" customHeight="false" outlineLevel="0" collapsed="false">
      <c r="A45" s="25" t="s">
        <v>57</v>
      </c>
      <c r="B45" s="24" t="s">
        <v>101</v>
      </c>
      <c r="C45" s="82" t="n">
        <v>2</v>
      </c>
      <c r="D45" s="82" t="n">
        <v>10</v>
      </c>
      <c r="E45" s="82" t="n">
        <v>3</v>
      </c>
      <c r="F45" s="82" t="n">
        <v>6</v>
      </c>
      <c r="G45" s="82" t="n">
        <v>3</v>
      </c>
      <c r="H45" s="82" t="n">
        <v>2</v>
      </c>
      <c r="I45" s="82" t="n">
        <v>0</v>
      </c>
      <c r="J45" s="82" t="n">
        <v>9</v>
      </c>
      <c r="K45" s="82" t="n">
        <v>35</v>
      </c>
    </row>
    <row r="46" customFormat="false" ht="15" hidden="false" customHeight="false" outlineLevel="0" collapsed="false">
      <c r="A46" s="25"/>
      <c r="B46" s="24" t="s">
        <v>102</v>
      </c>
      <c r="C46" s="82" t="n">
        <v>0</v>
      </c>
      <c r="D46" s="82" t="n">
        <v>0</v>
      </c>
      <c r="E46" s="82" t="n">
        <v>0</v>
      </c>
      <c r="F46" s="82" t="n">
        <v>0</v>
      </c>
      <c r="G46" s="82" t="n">
        <v>0</v>
      </c>
      <c r="H46" s="82" t="n">
        <v>0</v>
      </c>
      <c r="I46" s="82" t="n">
        <v>0</v>
      </c>
      <c r="J46" s="82" t="n">
        <v>0</v>
      </c>
      <c r="K46" s="82" t="n">
        <v>0</v>
      </c>
    </row>
    <row r="47" customFormat="false" ht="15" hidden="false" customHeight="false" outlineLevel="0" collapsed="false">
      <c r="A47" s="25"/>
      <c r="B47" s="24" t="s">
        <v>103</v>
      </c>
      <c r="C47" s="82" t="n">
        <v>1</v>
      </c>
      <c r="D47" s="82" t="n">
        <v>0</v>
      </c>
      <c r="E47" s="82" t="n">
        <v>0</v>
      </c>
      <c r="F47" s="82" t="n">
        <v>0</v>
      </c>
      <c r="G47" s="82" t="n">
        <v>0</v>
      </c>
      <c r="H47" s="82" t="n">
        <v>0</v>
      </c>
      <c r="I47" s="82" t="n">
        <v>0</v>
      </c>
      <c r="J47" s="82" t="n">
        <v>0</v>
      </c>
      <c r="K47" s="82" t="n">
        <v>1</v>
      </c>
    </row>
    <row r="48" customFormat="false" ht="15" hidden="false" customHeight="false" outlineLevel="0" collapsed="false">
      <c r="A48" s="25"/>
      <c r="B48" s="24" t="s">
        <v>104</v>
      </c>
      <c r="C48" s="82" t="n">
        <v>0</v>
      </c>
      <c r="D48" s="82" t="n">
        <v>0</v>
      </c>
      <c r="E48" s="82" t="n">
        <v>0</v>
      </c>
      <c r="F48" s="82" t="n">
        <v>0</v>
      </c>
      <c r="G48" s="82" t="n">
        <v>0</v>
      </c>
      <c r="H48" s="82" t="n">
        <v>0</v>
      </c>
      <c r="I48" s="82" t="n">
        <v>0</v>
      </c>
      <c r="J48" s="82" t="n">
        <v>0</v>
      </c>
      <c r="K48" s="82" t="n">
        <v>0</v>
      </c>
    </row>
    <row r="49" customFormat="false" ht="15" hidden="false" customHeight="false" outlineLevel="0" collapsed="false">
      <c r="A49" s="25"/>
      <c r="B49" s="24" t="s">
        <v>105</v>
      </c>
      <c r="C49" s="82" t="n">
        <v>0</v>
      </c>
      <c r="D49" s="82" t="n">
        <v>0</v>
      </c>
      <c r="E49" s="82" t="n">
        <v>0</v>
      </c>
      <c r="F49" s="82" t="n">
        <v>0</v>
      </c>
      <c r="G49" s="82" t="n">
        <v>0</v>
      </c>
      <c r="H49" s="82" t="n">
        <v>0</v>
      </c>
      <c r="I49" s="82" t="n">
        <v>0</v>
      </c>
      <c r="J49" s="82" t="n">
        <v>0</v>
      </c>
      <c r="K49" s="82" t="n">
        <v>0</v>
      </c>
    </row>
    <row r="50" customFormat="false" ht="15" hidden="false" customHeight="false" outlineLevel="0" collapsed="false">
      <c r="A50" s="25"/>
      <c r="B50" s="24" t="s">
        <v>106</v>
      </c>
      <c r="C50" s="82" t="n">
        <v>0</v>
      </c>
      <c r="D50" s="82" t="n">
        <v>0</v>
      </c>
      <c r="E50" s="82" t="n">
        <v>0</v>
      </c>
      <c r="F50" s="82" t="n">
        <v>0</v>
      </c>
      <c r="G50" s="82" t="n">
        <v>0</v>
      </c>
      <c r="H50" s="82" t="n">
        <v>0</v>
      </c>
      <c r="I50" s="82" t="n">
        <v>0</v>
      </c>
      <c r="J50" s="82" t="n">
        <v>0</v>
      </c>
      <c r="K50" s="82" t="n">
        <v>0</v>
      </c>
    </row>
    <row r="51" customFormat="false" ht="15" hidden="false" customHeight="false" outlineLevel="0" collapsed="false">
      <c r="A51" s="25"/>
      <c r="B51" s="24" t="s">
        <v>107</v>
      </c>
      <c r="C51" s="82" t="n">
        <v>0</v>
      </c>
      <c r="D51" s="82" t="n">
        <v>0</v>
      </c>
      <c r="E51" s="82" t="n">
        <v>0</v>
      </c>
      <c r="F51" s="82" t="n">
        <v>0</v>
      </c>
      <c r="G51" s="82" t="n">
        <v>0</v>
      </c>
      <c r="H51" s="82" t="n">
        <v>0</v>
      </c>
      <c r="I51" s="82" t="n">
        <v>0</v>
      </c>
      <c r="J51" s="82" t="n">
        <v>0</v>
      </c>
      <c r="K51" s="82" t="n">
        <v>0</v>
      </c>
    </row>
    <row r="52" customFormat="false" ht="15" hidden="false" customHeight="false" outlineLevel="0" collapsed="false">
      <c r="A52" s="25"/>
      <c r="B52" s="24" t="s">
        <v>108</v>
      </c>
      <c r="C52" s="82" t="n">
        <v>0</v>
      </c>
      <c r="D52" s="82" t="n">
        <v>1</v>
      </c>
      <c r="E52" s="82" t="n">
        <v>1</v>
      </c>
      <c r="F52" s="82" t="n">
        <v>0</v>
      </c>
      <c r="G52" s="82" t="n">
        <v>0</v>
      </c>
      <c r="H52" s="82" t="n">
        <v>1</v>
      </c>
      <c r="I52" s="82" t="n">
        <v>0</v>
      </c>
      <c r="J52" s="82" t="n">
        <v>0</v>
      </c>
      <c r="K52" s="82" t="n">
        <v>3</v>
      </c>
    </row>
    <row r="53" customFormat="false" ht="15" hidden="false" customHeight="false" outlineLevel="0" collapsed="false">
      <c r="A53" s="25"/>
      <c r="B53" s="24" t="s">
        <v>109</v>
      </c>
      <c r="C53" s="82" t="n">
        <v>3</v>
      </c>
      <c r="D53" s="82" t="n">
        <v>5</v>
      </c>
      <c r="E53" s="82" t="n">
        <v>1</v>
      </c>
      <c r="F53" s="82" t="n">
        <v>4</v>
      </c>
      <c r="G53" s="82" t="n">
        <v>3</v>
      </c>
      <c r="H53" s="82" t="n">
        <v>3</v>
      </c>
      <c r="I53" s="82" t="n">
        <v>3</v>
      </c>
      <c r="J53" s="82" t="n">
        <v>5</v>
      </c>
      <c r="K53" s="82" t="n">
        <v>27</v>
      </c>
    </row>
    <row r="54" customFormat="false" ht="15" hidden="false" customHeight="false" outlineLevel="0" collapsed="false">
      <c r="A54" s="25"/>
      <c r="B54" s="24" t="s">
        <v>110</v>
      </c>
      <c r="C54" s="82" t="n">
        <v>0</v>
      </c>
      <c r="D54" s="82" t="n">
        <v>0</v>
      </c>
      <c r="E54" s="82" t="n">
        <v>3</v>
      </c>
      <c r="F54" s="82" t="n">
        <v>2</v>
      </c>
      <c r="G54" s="82" t="n">
        <v>2</v>
      </c>
      <c r="H54" s="82" t="n">
        <v>0</v>
      </c>
      <c r="I54" s="82" t="n">
        <v>0</v>
      </c>
      <c r="J54" s="82" t="n">
        <v>1</v>
      </c>
      <c r="K54" s="82" t="n">
        <v>8</v>
      </c>
    </row>
    <row r="55" customFormat="false" ht="15" hidden="false" customHeight="false" outlineLevel="0" collapsed="false">
      <c r="A55" s="25"/>
      <c r="B55" s="24" t="s">
        <v>111</v>
      </c>
      <c r="C55" s="82" t="n">
        <v>0</v>
      </c>
      <c r="D55" s="82" t="n">
        <v>0</v>
      </c>
      <c r="E55" s="82" t="n">
        <v>0</v>
      </c>
      <c r="F55" s="82" t="n">
        <v>0</v>
      </c>
      <c r="G55" s="82" t="n">
        <v>0</v>
      </c>
      <c r="H55" s="82" t="n">
        <v>0</v>
      </c>
      <c r="I55" s="82" t="n">
        <v>0</v>
      </c>
      <c r="J55" s="82" t="n">
        <v>0</v>
      </c>
      <c r="K55" s="82" t="n">
        <v>0</v>
      </c>
    </row>
    <row r="56" customFormat="false" ht="15" hidden="false" customHeight="false" outlineLevel="0" collapsed="false">
      <c r="A56" s="25"/>
      <c r="B56" s="24" t="s">
        <v>112</v>
      </c>
      <c r="C56" s="82" t="n">
        <v>0</v>
      </c>
      <c r="D56" s="82" t="n">
        <v>0</v>
      </c>
      <c r="E56" s="82" t="n">
        <v>0</v>
      </c>
      <c r="F56" s="82" t="n">
        <v>0</v>
      </c>
      <c r="G56" s="82" t="n">
        <v>0</v>
      </c>
      <c r="H56" s="82" t="n">
        <v>0</v>
      </c>
      <c r="I56" s="82" t="n">
        <v>0</v>
      </c>
      <c r="J56" s="82" t="n">
        <v>0</v>
      </c>
      <c r="K56" s="82" t="n">
        <v>0</v>
      </c>
    </row>
    <row r="57" customFormat="false" ht="15" hidden="false" customHeight="false" outlineLevel="0" collapsed="false">
      <c r="A57" s="25"/>
      <c r="B57" s="24" t="s">
        <v>113</v>
      </c>
      <c r="C57" s="82" t="n">
        <v>0</v>
      </c>
      <c r="D57" s="82" t="n">
        <v>0</v>
      </c>
      <c r="E57" s="82" t="n">
        <v>0</v>
      </c>
      <c r="F57" s="82" t="n">
        <v>0</v>
      </c>
      <c r="G57" s="82" t="n">
        <v>0</v>
      </c>
      <c r="H57" s="82" t="n">
        <v>0</v>
      </c>
      <c r="I57" s="82" t="n">
        <v>0</v>
      </c>
      <c r="J57" s="82" t="n">
        <v>0</v>
      </c>
      <c r="K57" s="82" t="n">
        <v>0</v>
      </c>
    </row>
    <row r="58" customFormat="false" ht="15" hidden="false" customHeight="false" outlineLevel="0" collapsed="false">
      <c r="A58" s="25"/>
      <c r="B58" s="24" t="s">
        <v>114</v>
      </c>
      <c r="C58" s="82" t="n">
        <v>0</v>
      </c>
      <c r="D58" s="82" t="n">
        <v>0</v>
      </c>
      <c r="E58" s="82" t="n">
        <v>0</v>
      </c>
      <c r="F58" s="82" t="n">
        <v>0</v>
      </c>
      <c r="G58" s="82" t="n">
        <v>0</v>
      </c>
      <c r="H58" s="82" t="n">
        <v>0</v>
      </c>
      <c r="I58" s="82" t="n">
        <v>0</v>
      </c>
      <c r="J58" s="82" t="n">
        <v>0</v>
      </c>
      <c r="K58" s="82" t="n">
        <v>0</v>
      </c>
    </row>
    <row r="59" customFormat="false" ht="15" hidden="false" customHeight="false" outlineLevel="0" collapsed="false">
      <c r="A59" s="25"/>
      <c r="B59" s="24" t="s">
        <v>115</v>
      </c>
      <c r="C59" s="82" t="n">
        <v>4</v>
      </c>
      <c r="D59" s="82" t="n">
        <v>2</v>
      </c>
      <c r="E59" s="82" t="n">
        <v>5</v>
      </c>
      <c r="F59" s="82" t="n">
        <v>1</v>
      </c>
      <c r="G59" s="82" t="n">
        <v>1</v>
      </c>
      <c r="H59" s="82" t="n">
        <v>0</v>
      </c>
      <c r="I59" s="82" t="n">
        <v>0</v>
      </c>
      <c r="J59" s="82" t="n">
        <v>1</v>
      </c>
      <c r="K59" s="82" t="n">
        <v>14</v>
      </c>
    </row>
    <row r="60" customFormat="false" ht="15" hidden="false" customHeight="false" outlineLevel="0" collapsed="false">
      <c r="A60" s="25"/>
      <c r="B60" s="24" t="s">
        <v>116</v>
      </c>
      <c r="C60" s="82" t="n">
        <v>0</v>
      </c>
      <c r="D60" s="82" t="n">
        <v>0</v>
      </c>
      <c r="E60" s="82" t="n">
        <v>0</v>
      </c>
      <c r="F60" s="82" t="n">
        <v>0</v>
      </c>
      <c r="G60" s="82" t="n">
        <v>0</v>
      </c>
      <c r="H60" s="82" t="n">
        <v>0</v>
      </c>
      <c r="I60" s="82" t="n">
        <v>0</v>
      </c>
      <c r="J60" s="82" t="n">
        <v>1</v>
      </c>
      <c r="K60" s="82" t="n">
        <v>1</v>
      </c>
    </row>
    <row r="61" customFormat="false" ht="15.75" hidden="false" customHeight="false" outlineLevel="0" collapsed="false">
      <c r="A61" s="85"/>
      <c r="B61" s="142" t="s">
        <v>22</v>
      </c>
      <c r="C61" s="85" t="n">
        <v>10</v>
      </c>
      <c r="D61" s="85" t="n">
        <v>18</v>
      </c>
      <c r="E61" s="85" t="n">
        <v>13</v>
      </c>
      <c r="F61" s="85" t="n">
        <v>13</v>
      </c>
      <c r="G61" s="85" t="n">
        <v>9</v>
      </c>
      <c r="H61" s="85" t="n">
        <v>6</v>
      </c>
      <c r="I61" s="85" t="n">
        <v>3</v>
      </c>
      <c r="J61" s="85" t="n">
        <v>17</v>
      </c>
      <c r="K61" s="85" t="n">
        <v>89</v>
      </c>
    </row>
    <row r="62" customFormat="false" ht="15.75" hidden="false" customHeight="false" outlineLevel="0" collapsed="false">
      <c r="A62" s="49"/>
      <c r="B62" s="49" t="s">
        <v>74</v>
      </c>
      <c r="C62" s="143" t="n">
        <v>26</v>
      </c>
      <c r="D62" s="143" t="n">
        <v>75</v>
      </c>
      <c r="E62" s="143" t="n">
        <v>60</v>
      </c>
      <c r="F62" s="143" t="n">
        <v>34</v>
      </c>
      <c r="G62" s="143" t="n">
        <v>37</v>
      </c>
      <c r="H62" s="143" t="n">
        <v>31</v>
      </c>
      <c r="I62" s="143" t="n">
        <v>15</v>
      </c>
      <c r="J62" s="143" t="n">
        <v>44</v>
      </c>
      <c r="K62" s="143" t="n">
        <v>322</v>
      </c>
    </row>
    <row r="63" customFormat="false" ht="15" hidden="false" customHeight="false" outlineLevel="0" collapsed="false">
      <c r="A63" s="51"/>
      <c r="B63" s="51" t="s">
        <v>117</v>
      </c>
      <c r="C63" s="75" t="n">
        <v>0.0807453416149068</v>
      </c>
      <c r="D63" s="75" t="n">
        <v>0.232919254658385</v>
      </c>
      <c r="E63" s="75" t="n">
        <v>0.186335403726708</v>
      </c>
      <c r="F63" s="75" t="n">
        <v>0.105590062111801</v>
      </c>
      <c r="G63" s="75" t="n">
        <v>0.114906832298137</v>
      </c>
      <c r="H63" s="75" t="n">
        <v>0.0962732919254658</v>
      </c>
      <c r="I63" s="75" t="n">
        <v>0.046583850931677</v>
      </c>
      <c r="J63" s="75" t="n">
        <v>0.136645962732919</v>
      </c>
      <c r="K63" s="75" t="n">
        <v>1</v>
      </c>
    </row>
    <row r="64" customFormat="false" ht="15" hidden="false" customHeight="false" outlineLevel="0" collapsed="false">
      <c r="A64" s="34" t="s">
        <v>118</v>
      </c>
    </row>
    <row r="68" customFormat="false" ht="15" hidden="false" customHeight="false" outlineLevel="0" collapsed="false">
      <c r="B68" s="127" t="s">
        <v>234</v>
      </c>
      <c r="C68" s="127"/>
      <c r="D68" s="127"/>
      <c r="E68" s="127"/>
      <c r="F68" s="127"/>
      <c r="G68" s="127"/>
      <c r="H68" s="127"/>
      <c r="I68" s="127"/>
      <c r="J68" s="127"/>
      <c r="K68" s="144"/>
    </row>
    <row r="69" customFormat="false" ht="15" hidden="false" customHeight="true" outlineLevel="0" collapsed="false">
      <c r="A69" s="145"/>
      <c r="B69" s="23" t="s">
        <v>2</v>
      </c>
      <c r="C69" s="130"/>
      <c r="D69" s="105"/>
      <c r="E69" s="105"/>
      <c r="F69" s="131" t="s">
        <v>224</v>
      </c>
      <c r="G69" s="105"/>
      <c r="H69" s="105"/>
      <c r="I69" s="107"/>
      <c r="J69" s="23" t="s">
        <v>80</v>
      </c>
      <c r="K69" s="145"/>
    </row>
    <row r="70" customFormat="false" ht="15" hidden="false" customHeight="false" outlineLevel="0" collapsed="false">
      <c r="B70" s="23"/>
      <c r="C70" s="134"/>
      <c r="D70" s="135" t="s">
        <v>225</v>
      </c>
      <c r="E70" s="136" t="s">
        <v>226</v>
      </c>
      <c r="F70" s="137" t="s">
        <v>227</v>
      </c>
      <c r="G70" s="136" t="s">
        <v>228</v>
      </c>
      <c r="H70" s="136" t="s">
        <v>229</v>
      </c>
      <c r="I70" s="135"/>
      <c r="J70" s="23"/>
    </row>
    <row r="71" customFormat="false" ht="15" hidden="false" customHeight="false" outlineLevel="0" collapsed="false">
      <c r="B71" s="23"/>
      <c r="C71" s="139" t="s">
        <v>231</v>
      </c>
      <c r="D71" s="140" t="n">
        <v>10000</v>
      </c>
      <c r="E71" s="140" t="n">
        <v>15000</v>
      </c>
      <c r="F71" s="140" t="n">
        <v>20000</v>
      </c>
      <c r="G71" s="140" t="n">
        <v>30000</v>
      </c>
      <c r="H71" s="140" t="n">
        <v>50000</v>
      </c>
      <c r="I71" s="89" t="s">
        <v>232</v>
      </c>
      <c r="J71" s="23"/>
    </row>
    <row r="72" customFormat="false" ht="15" hidden="false" customHeight="false" outlineLevel="0" collapsed="false">
      <c r="B72" s="25" t="s">
        <v>81</v>
      </c>
      <c r="C72" s="82" t="n">
        <v>0</v>
      </c>
      <c r="D72" s="82" t="n">
        <v>0</v>
      </c>
      <c r="E72" s="82" t="n">
        <v>0</v>
      </c>
      <c r="F72" s="82" t="n">
        <v>0</v>
      </c>
      <c r="G72" s="82" t="n">
        <v>1</v>
      </c>
      <c r="H72" s="82" t="n">
        <v>1</v>
      </c>
      <c r="I72" s="82" t="n">
        <v>1</v>
      </c>
      <c r="J72" s="82" t="n">
        <f aca="false">SUM(C72:I72)</f>
        <v>3</v>
      </c>
    </row>
    <row r="73" customFormat="false" ht="15" hidden="false" customHeight="false" outlineLevel="0" collapsed="false">
      <c r="B73" s="25" t="s">
        <v>82</v>
      </c>
      <c r="C73" s="82" t="n">
        <v>0</v>
      </c>
      <c r="D73" s="82" t="n">
        <v>0</v>
      </c>
      <c r="E73" s="82" t="n">
        <v>0</v>
      </c>
      <c r="F73" s="82" t="n">
        <v>0</v>
      </c>
      <c r="G73" s="82" t="n">
        <v>0</v>
      </c>
      <c r="H73" s="82" t="n">
        <v>1</v>
      </c>
      <c r="I73" s="82" t="n">
        <v>1</v>
      </c>
      <c r="J73" s="82" t="n">
        <f aca="false">SUM(C73:I73)</f>
        <v>2</v>
      </c>
    </row>
    <row r="74" customFormat="false" ht="15" hidden="false" customHeight="false" outlineLevel="0" collapsed="false">
      <c r="B74" s="25" t="s">
        <v>83</v>
      </c>
      <c r="C74" s="82" t="n">
        <v>0</v>
      </c>
      <c r="D74" s="82" t="n">
        <v>0</v>
      </c>
      <c r="E74" s="82" t="n">
        <v>0</v>
      </c>
      <c r="F74" s="82" t="n">
        <v>0</v>
      </c>
      <c r="G74" s="82" t="n">
        <v>0</v>
      </c>
      <c r="H74" s="82" t="n">
        <v>0</v>
      </c>
      <c r="I74" s="82" t="n">
        <v>0</v>
      </c>
      <c r="J74" s="82" t="n">
        <f aca="false">SUM(C74:I74)</f>
        <v>0</v>
      </c>
    </row>
    <row r="75" customFormat="false" ht="15" hidden="false" customHeight="false" outlineLevel="0" collapsed="false">
      <c r="B75" s="25" t="s">
        <v>84</v>
      </c>
      <c r="C75" s="82" t="n">
        <v>0</v>
      </c>
      <c r="D75" s="82" t="n">
        <v>0</v>
      </c>
      <c r="E75" s="82" t="n">
        <v>0</v>
      </c>
      <c r="F75" s="82" t="n">
        <v>0</v>
      </c>
      <c r="G75" s="82" t="n">
        <v>0</v>
      </c>
      <c r="H75" s="82" t="n">
        <v>0</v>
      </c>
      <c r="I75" s="82" t="n">
        <v>0</v>
      </c>
      <c r="J75" s="82" t="n">
        <f aca="false">SUM(C75:I75)</f>
        <v>0</v>
      </c>
    </row>
    <row r="76" customFormat="false" ht="15" hidden="false" customHeight="false" outlineLevel="0" collapsed="false">
      <c r="B76" s="25" t="s">
        <v>85</v>
      </c>
      <c r="C76" s="82" t="n">
        <v>0</v>
      </c>
      <c r="D76" s="82" t="n">
        <v>1</v>
      </c>
      <c r="E76" s="82" t="n">
        <v>0</v>
      </c>
      <c r="F76" s="82" t="n">
        <v>0</v>
      </c>
      <c r="G76" s="82" t="n">
        <v>0</v>
      </c>
      <c r="H76" s="82" t="n">
        <v>2</v>
      </c>
      <c r="I76" s="82" t="n">
        <v>0</v>
      </c>
      <c r="J76" s="82" t="n">
        <f aca="false">SUM(C76:I76)</f>
        <v>3</v>
      </c>
    </row>
    <row r="77" customFormat="false" ht="15" hidden="false" customHeight="false" outlineLevel="0" collapsed="false">
      <c r="B77" s="25" t="s">
        <v>86</v>
      </c>
      <c r="C77" s="82" t="n">
        <v>0</v>
      </c>
      <c r="D77" s="82" t="n">
        <v>1</v>
      </c>
      <c r="E77" s="82" t="n">
        <v>2</v>
      </c>
      <c r="F77" s="82" t="n">
        <v>1</v>
      </c>
      <c r="G77" s="82" t="n">
        <v>2</v>
      </c>
      <c r="H77" s="82" t="n">
        <v>3</v>
      </c>
      <c r="I77" s="82" t="n">
        <v>2</v>
      </c>
      <c r="J77" s="82" t="n">
        <f aca="false">SUM(C77:I77)</f>
        <v>11</v>
      </c>
    </row>
    <row r="78" customFormat="false" ht="15" hidden="false" customHeight="false" outlineLevel="0" collapsed="false">
      <c r="B78" s="25" t="s">
        <v>87</v>
      </c>
      <c r="C78" s="82" t="n">
        <v>1</v>
      </c>
      <c r="D78" s="82" t="n">
        <v>2</v>
      </c>
      <c r="E78" s="82" t="n">
        <v>9</v>
      </c>
      <c r="F78" s="82" t="n">
        <v>1</v>
      </c>
      <c r="G78" s="82" t="n">
        <v>1</v>
      </c>
      <c r="H78" s="82" t="n">
        <v>1</v>
      </c>
      <c r="I78" s="82" t="n">
        <v>2</v>
      </c>
      <c r="J78" s="82" t="n">
        <f aca="false">SUM(C78:I78)</f>
        <v>17</v>
      </c>
    </row>
    <row r="79" customFormat="false" ht="15" hidden="false" customHeight="false" outlineLevel="0" collapsed="false">
      <c r="B79" s="25" t="s">
        <v>90</v>
      </c>
      <c r="C79" s="82" t="n">
        <v>1</v>
      </c>
      <c r="D79" s="82" t="n">
        <v>2</v>
      </c>
      <c r="E79" s="82" t="n">
        <v>2</v>
      </c>
      <c r="F79" s="82" t="n">
        <v>1</v>
      </c>
      <c r="G79" s="82" t="n">
        <v>1</v>
      </c>
      <c r="H79" s="82" t="n">
        <v>2</v>
      </c>
      <c r="I79" s="82" t="n">
        <v>1</v>
      </c>
      <c r="J79" s="82" t="n">
        <f aca="false">SUM(C79:I79)</f>
        <v>10</v>
      </c>
    </row>
    <row r="80" customFormat="false" ht="15" hidden="false" customHeight="false" outlineLevel="0" collapsed="false">
      <c r="B80" s="25" t="s">
        <v>100</v>
      </c>
      <c r="C80" s="82" t="n">
        <v>0</v>
      </c>
      <c r="D80" s="82" t="n">
        <v>4</v>
      </c>
      <c r="E80" s="82" t="n">
        <v>1</v>
      </c>
      <c r="F80" s="82" t="n">
        <v>1</v>
      </c>
      <c r="G80" s="82" t="n">
        <v>0</v>
      </c>
      <c r="H80" s="82" t="n">
        <v>1</v>
      </c>
      <c r="I80" s="82" t="n">
        <v>0</v>
      </c>
      <c r="J80" s="82" t="n">
        <f aca="false">SUM(C80:I80)</f>
        <v>7</v>
      </c>
    </row>
    <row r="81" customFormat="false" ht="15" hidden="false" customHeight="false" outlineLevel="0" collapsed="false">
      <c r="B81" s="49" t="s">
        <v>80</v>
      </c>
      <c r="C81" s="143" t="n">
        <f aca="false">SUM(C72:C80)</f>
        <v>2</v>
      </c>
      <c r="D81" s="143" t="n">
        <f aca="false">SUM(D72:D80)</f>
        <v>10</v>
      </c>
      <c r="E81" s="143" t="n">
        <f aca="false">SUM(E72:E80)</f>
        <v>14</v>
      </c>
      <c r="F81" s="143" t="n">
        <f aca="false">SUM(F72:F80)</f>
        <v>4</v>
      </c>
      <c r="G81" s="143" t="n">
        <f aca="false">SUM(G72:G80)</f>
        <v>5</v>
      </c>
      <c r="H81" s="143" t="n">
        <f aca="false">SUM(H72:H80)</f>
        <v>11</v>
      </c>
      <c r="I81" s="143" t="n">
        <f aca="false">SUM(I72:I80)</f>
        <v>7</v>
      </c>
      <c r="J81" s="143" t="n">
        <f aca="false">SUM(J72:J80)</f>
        <v>53</v>
      </c>
    </row>
    <row r="82" customFormat="false" ht="15" hidden="false" customHeight="false" outlineLevel="0" collapsed="false">
      <c r="B82" s="51" t="s">
        <v>117</v>
      </c>
      <c r="C82" s="75" t="n">
        <f aca="false">C81/53</f>
        <v>0.0377358490566038</v>
      </c>
      <c r="D82" s="75" t="n">
        <f aca="false">D81/53</f>
        <v>0.188679245283019</v>
      </c>
      <c r="E82" s="75" t="n">
        <f aca="false">E81/53</f>
        <v>0.264150943396226</v>
      </c>
      <c r="F82" s="75" t="n">
        <f aca="false">F81/53</f>
        <v>0.0754716981132075</v>
      </c>
      <c r="G82" s="75" t="n">
        <f aca="false">G81/53</f>
        <v>0.0943396226415094</v>
      </c>
      <c r="H82" s="75" t="n">
        <f aca="false">H81/53</f>
        <v>0.207547169811321</v>
      </c>
      <c r="I82" s="75" t="n">
        <f aca="false">I81/53</f>
        <v>0.132075471698113</v>
      </c>
      <c r="J82" s="75" t="n">
        <f aca="false">SUM(C82:I82)</f>
        <v>1</v>
      </c>
    </row>
    <row r="83" customFormat="false" ht="15" hidden="false" customHeight="false" outlineLevel="0" collapsed="false">
      <c r="B83" s="34" t="s">
        <v>118</v>
      </c>
    </row>
    <row r="86" customFormat="false" ht="15" hidden="false" customHeight="false" outlineLevel="0" collapsed="false">
      <c r="B86" s="127" t="s">
        <v>235</v>
      </c>
      <c r="C86" s="127"/>
      <c r="D86" s="127"/>
      <c r="E86" s="127"/>
      <c r="F86" s="127"/>
      <c r="G86" s="127"/>
      <c r="H86" s="127"/>
      <c r="I86" s="127"/>
      <c r="J86" s="127"/>
      <c r="K86" s="127"/>
    </row>
    <row r="87" customFormat="false" ht="15" hidden="false" customHeight="true" outlineLevel="0" collapsed="false">
      <c r="B87" s="23" t="s">
        <v>2</v>
      </c>
      <c r="C87" s="130"/>
      <c r="D87" s="105"/>
      <c r="E87" s="105"/>
      <c r="F87" s="131" t="s">
        <v>224</v>
      </c>
      <c r="G87" s="105"/>
      <c r="H87" s="105"/>
      <c r="I87" s="107"/>
      <c r="J87" s="132"/>
      <c r="K87" s="133" t="s">
        <v>80</v>
      </c>
    </row>
    <row r="88" customFormat="false" ht="25.5" hidden="false" customHeight="false" outlineLevel="0" collapsed="false">
      <c r="B88" s="23"/>
      <c r="C88" s="134"/>
      <c r="D88" s="135" t="s">
        <v>225</v>
      </c>
      <c r="E88" s="136" t="s">
        <v>226</v>
      </c>
      <c r="F88" s="137" t="s">
        <v>227</v>
      </c>
      <c r="G88" s="136" t="s">
        <v>228</v>
      </c>
      <c r="H88" s="136" t="s">
        <v>229</v>
      </c>
      <c r="I88" s="135"/>
      <c r="J88" s="132" t="s">
        <v>230</v>
      </c>
      <c r="K88" s="138"/>
    </row>
    <row r="89" customFormat="false" ht="15" hidden="false" customHeight="false" outlineLevel="0" collapsed="false">
      <c r="B89" s="23"/>
      <c r="C89" s="139" t="s">
        <v>231</v>
      </c>
      <c r="D89" s="140" t="n">
        <v>10000</v>
      </c>
      <c r="E89" s="140" t="n">
        <v>15000</v>
      </c>
      <c r="F89" s="140" t="n">
        <v>20000</v>
      </c>
      <c r="G89" s="140" t="n">
        <v>30000</v>
      </c>
      <c r="H89" s="140" t="n">
        <v>50000</v>
      </c>
      <c r="I89" s="89" t="s">
        <v>232</v>
      </c>
      <c r="J89" s="141" t="s">
        <v>233</v>
      </c>
      <c r="K89" s="139"/>
    </row>
    <row r="90" customFormat="false" ht="15" hidden="false" customHeight="false" outlineLevel="0" collapsed="false">
      <c r="B90" s="25" t="s">
        <v>81</v>
      </c>
      <c r="C90" s="82" t="n">
        <v>0</v>
      </c>
      <c r="D90" s="82" t="n">
        <v>0</v>
      </c>
      <c r="E90" s="82" t="n">
        <v>1</v>
      </c>
      <c r="F90" s="82" t="n">
        <v>0</v>
      </c>
      <c r="G90" s="82" t="n">
        <v>0</v>
      </c>
      <c r="H90" s="82" t="n">
        <v>1</v>
      </c>
      <c r="I90" s="82" t="n">
        <v>0</v>
      </c>
      <c r="J90" s="82" t="n">
        <v>1</v>
      </c>
      <c r="K90" s="82" t="n">
        <f aca="false">SUM(C90:J90)</f>
        <v>3</v>
      </c>
    </row>
    <row r="91" customFormat="false" ht="15" hidden="false" customHeight="false" outlineLevel="0" collapsed="false">
      <c r="B91" s="25" t="s">
        <v>82</v>
      </c>
      <c r="C91" s="82" t="n">
        <v>1</v>
      </c>
      <c r="D91" s="82" t="n">
        <v>1</v>
      </c>
      <c r="E91" s="82" t="n">
        <v>1</v>
      </c>
      <c r="F91" s="82" t="n">
        <v>0</v>
      </c>
      <c r="G91" s="82" t="n">
        <v>1</v>
      </c>
      <c r="H91" s="82" t="n">
        <v>0</v>
      </c>
      <c r="I91" s="82" t="n">
        <v>0</v>
      </c>
      <c r="J91" s="82" t="n">
        <v>0</v>
      </c>
      <c r="K91" s="82" t="n">
        <f aca="false">SUM(C91:J91)</f>
        <v>4</v>
      </c>
    </row>
    <row r="92" customFormat="false" ht="15" hidden="false" customHeight="false" outlineLevel="0" collapsed="false">
      <c r="B92" s="25" t="s">
        <v>83</v>
      </c>
      <c r="C92" s="82" t="n">
        <v>0</v>
      </c>
      <c r="D92" s="82" t="n">
        <v>0</v>
      </c>
      <c r="E92" s="82" t="n">
        <v>0</v>
      </c>
      <c r="F92" s="82" t="n">
        <v>0</v>
      </c>
      <c r="G92" s="82" t="n">
        <v>0</v>
      </c>
      <c r="H92" s="82" t="n">
        <v>0</v>
      </c>
      <c r="I92" s="82" t="n">
        <v>0</v>
      </c>
      <c r="J92" s="82" t="n">
        <v>0</v>
      </c>
      <c r="K92" s="82" t="n">
        <f aca="false">SUM(C92:J92)</f>
        <v>0</v>
      </c>
    </row>
    <row r="93" customFormat="false" ht="15" hidden="false" customHeight="false" outlineLevel="0" collapsed="false">
      <c r="B93" s="25" t="s">
        <v>84</v>
      </c>
      <c r="C93" s="82" t="n">
        <v>0</v>
      </c>
      <c r="D93" s="82" t="n">
        <v>0</v>
      </c>
      <c r="E93" s="82" t="n">
        <v>0</v>
      </c>
      <c r="F93" s="82" t="n">
        <v>0</v>
      </c>
      <c r="G93" s="82" t="n">
        <v>0</v>
      </c>
      <c r="H93" s="82" t="n">
        <v>0</v>
      </c>
      <c r="I93" s="82" t="n">
        <v>1</v>
      </c>
      <c r="J93" s="82" t="n">
        <v>0</v>
      </c>
      <c r="K93" s="82" t="n">
        <f aca="false">SUM(C93:J93)</f>
        <v>1</v>
      </c>
    </row>
    <row r="94" customFormat="false" ht="15" hidden="false" customHeight="false" outlineLevel="0" collapsed="false">
      <c r="B94" s="25" t="s">
        <v>85</v>
      </c>
      <c r="C94" s="82" t="n">
        <v>1</v>
      </c>
      <c r="D94" s="82" t="n">
        <v>0</v>
      </c>
      <c r="E94" s="82" t="n">
        <v>0</v>
      </c>
      <c r="F94" s="82" t="n">
        <v>2</v>
      </c>
      <c r="G94" s="82" t="n">
        <v>0</v>
      </c>
      <c r="H94" s="82" t="n">
        <v>0</v>
      </c>
      <c r="I94" s="82" t="n">
        <v>0</v>
      </c>
      <c r="J94" s="82" t="n">
        <v>0</v>
      </c>
      <c r="K94" s="82" t="n">
        <f aca="false">SUM(C94:J94)</f>
        <v>3</v>
      </c>
    </row>
    <row r="95" customFormat="false" ht="15" hidden="false" customHeight="false" outlineLevel="0" collapsed="false">
      <c r="B95" s="25" t="s">
        <v>86</v>
      </c>
      <c r="C95" s="82" t="n">
        <v>2</v>
      </c>
      <c r="D95" s="82" t="n">
        <v>3</v>
      </c>
      <c r="E95" s="82" t="n">
        <v>0</v>
      </c>
      <c r="F95" s="82" t="n">
        <v>4</v>
      </c>
      <c r="G95" s="82" t="n">
        <v>0</v>
      </c>
      <c r="H95" s="82" t="n">
        <v>0</v>
      </c>
      <c r="I95" s="82" t="n">
        <v>0</v>
      </c>
      <c r="J95" s="82" t="n">
        <v>0</v>
      </c>
      <c r="K95" s="82" t="n">
        <f aca="false">SUM(C95:J95)</f>
        <v>9</v>
      </c>
    </row>
    <row r="96" customFormat="false" ht="15" hidden="false" customHeight="false" outlineLevel="0" collapsed="false">
      <c r="B96" s="25" t="s">
        <v>87</v>
      </c>
      <c r="C96" s="82" t="n">
        <v>4</v>
      </c>
      <c r="D96" s="82" t="n">
        <v>16</v>
      </c>
      <c r="E96" s="82" t="n">
        <v>17</v>
      </c>
      <c r="F96" s="82" t="n">
        <v>3</v>
      </c>
      <c r="G96" s="82" t="n">
        <v>7</v>
      </c>
      <c r="H96" s="82" t="n">
        <v>3</v>
      </c>
      <c r="I96" s="82" t="n">
        <v>1</v>
      </c>
      <c r="J96" s="82" t="n">
        <v>9</v>
      </c>
      <c r="K96" s="82" t="n">
        <f aca="false">SUM(C96:J96)</f>
        <v>60</v>
      </c>
    </row>
    <row r="97" customFormat="false" ht="15" hidden="false" customHeight="false" outlineLevel="0" collapsed="false">
      <c r="B97" s="25" t="s">
        <v>90</v>
      </c>
      <c r="C97" s="82" t="n">
        <v>1</v>
      </c>
      <c r="D97" s="82" t="n">
        <v>26</v>
      </c>
      <c r="E97" s="82" t="n">
        <v>17</v>
      </c>
      <c r="F97" s="82" t="n">
        <v>11</v>
      </c>
      <c r="G97" s="82" t="n">
        <v>19</v>
      </c>
      <c r="H97" s="82" t="n">
        <v>12</v>
      </c>
      <c r="I97" s="82" t="n">
        <v>6</v>
      </c>
      <c r="J97" s="82" t="n">
        <v>15</v>
      </c>
      <c r="K97" s="82" t="n">
        <f aca="false">SUM(C97:J97)</f>
        <v>107</v>
      </c>
    </row>
    <row r="98" customFormat="false" ht="15" hidden="false" customHeight="false" outlineLevel="0" collapsed="false">
      <c r="B98" s="25" t="s">
        <v>100</v>
      </c>
      <c r="C98" s="82" t="n">
        <v>7</v>
      </c>
      <c r="D98" s="82" t="n">
        <v>12</v>
      </c>
      <c r="E98" s="82" t="n">
        <v>16</v>
      </c>
      <c r="F98" s="82" t="n">
        <v>10</v>
      </c>
      <c r="G98" s="82" t="n">
        <v>13</v>
      </c>
      <c r="H98" s="82" t="n">
        <v>5</v>
      </c>
      <c r="I98" s="82" t="n">
        <v>3</v>
      </c>
      <c r="J98" s="82" t="n">
        <v>16</v>
      </c>
      <c r="K98" s="82" t="n">
        <f aca="false">SUM(C98:J98)</f>
        <v>82</v>
      </c>
    </row>
    <row r="99" customFormat="false" ht="15" hidden="false" customHeight="false" outlineLevel="0" collapsed="false">
      <c r="B99" s="49" t="s">
        <v>80</v>
      </c>
      <c r="C99" s="143" t="n">
        <f aca="false">SUM(C90:C98)</f>
        <v>16</v>
      </c>
      <c r="D99" s="143" t="n">
        <f aca="false">SUM(D90:D98)</f>
        <v>58</v>
      </c>
      <c r="E99" s="143" t="n">
        <f aca="false">SUM(E90:E98)</f>
        <v>52</v>
      </c>
      <c r="F99" s="143" t="n">
        <f aca="false">SUM(F90:F98)</f>
        <v>30</v>
      </c>
      <c r="G99" s="143" t="n">
        <f aca="false">SUM(G90:G98)</f>
        <v>40</v>
      </c>
      <c r="H99" s="143" t="n">
        <f aca="false">SUM(H90:H98)</f>
        <v>21</v>
      </c>
      <c r="I99" s="143" t="n">
        <f aca="false">SUM(I90:I98)</f>
        <v>11</v>
      </c>
      <c r="J99" s="143" t="n">
        <f aca="false">SUM(J90:J98)</f>
        <v>41</v>
      </c>
      <c r="K99" s="143" t="n">
        <f aca="false">SUM(K90:K98)</f>
        <v>269</v>
      </c>
    </row>
    <row r="100" customFormat="false" ht="15" hidden="false" customHeight="false" outlineLevel="0" collapsed="false">
      <c r="B100" s="51" t="s">
        <v>117</v>
      </c>
      <c r="C100" s="75" t="n">
        <f aca="false">C99/322</f>
        <v>0.0496894409937888</v>
      </c>
      <c r="D100" s="75" t="n">
        <f aca="false">D99/322</f>
        <v>0.180124223602484</v>
      </c>
      <c r="E100" s="75" t="n">
        <f aca="false">E99/322</f>
        <v>0.161490683229814</v>
      </c>
      <c r="F100" s="75" t="n">
        <f aca="false">F99/322</f>
        <v>0.093167701863354</v>
      </c>
      <c r="G100" s="75" t="n">
        <f aca="false">G99/322</f>
        <v>0.124223602484472</v>
      </c>
      <c r="H100" s="75" t="n">
        <f aca="false">H99/322</f>
        <v>0.0652173913043478</v>
      </c>
      <c r="I100" s="75" t="n">
        <f aca="false">I99/322</f>
        <v>0.0341614906832298</v>
      </c>
      <c r="J100" s="75" t="n">
        <f aca="false">J99/322</f>
        <v>0.127329192546584</v>
      </c>
      <c r="K100" s="75" t="n">
        <f aca="false">K99/322</f>
        <v>0.835403726708075</v>
      </c>
    </row>
    <row r="101" customFormat="false" ht="15" hidden="false" customHeight="false" outlineLevel="0" collapsed="false">
      <c r="B101" s="34" t="s">
        <v>118</v>
      </c>
    </row>
  </sheetData>
  <mergeCells count="9">
    <mergeCell ref="A1:K1"/>
    <mergeCell ref="C2:J2"/>
    <mergeCell ref="A3:A5"/>
    <mergeCell ref="B3:B5"/>
    <mergeCell ref="B68:J68"/>
    <mergeCell ref="B69:B71"/>
    <mergeCell ref="J69:J71"/>
    <mergeCell ref="B86:K86"/>
    <mergeCell ref="B87:B8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outlineLevelRow="0" outlineLevelCol="0"/>
  <cols>
    <col collapsed="false" customWidth="true" hidden="false" outlineLevel="0" max="1" min="1" style="0" width="28.42"/>
    <col collapsed="false" customWidth="true" hidden="false" outlineLevel="0" max="2" min="2" style="0" width="26.29"/>
    <col collapsed="false" customWidth="true" hidden="false" outlineLevel="0" max="1025" min="3" style="0" width="8.67"/>
  </cols>
  <sheetData>
    <row r="1" customFormat="false" ht="15" hidden="false" customHeight="false" outlineLevel="0" collapsed="false">
      <c r="A1" s="128" t="s">
        <v>236</v>
      </c>
      <c r="B1" s="128"/>
      <c r="C1" s="128"/>
      <c r="D1" s="128"/>
      <c r="E1" s="128"/>
      <c r="F1" s="128"/>
      <c r="G1" s="128"/>
      <c r="H1" s="128"/>
      <c r="I1" s="128"/>
    </row>
    <row r="2" customFormat="false" ht="15" hidden="false" customHeight="false" outlineLevel="0" collapsed="false">
      <c r="A2" s="128"/>
      <c r="B2" s="128" t="s">
        <v>1</v>
      </c>
      <c r="C2" s="127" t="s">
        <v>237</v>
      </c>
      <c r="D2" s="127"/>
      <c r="E2" s="127"/>
      <c r="F2" s="127"/>
      <c r="G2" s="127"/>
      <c r="H2" s="127"/>
      <c r="I2" s="128"/>
    </row>
    <row r="3" customFormat="false" ht="25.5" hidden="false" customHeight="false" outlineLevel="0" collapsed="false">
      <c r="A3" s="23" t="s">
        <v>2</v>
      </c>
      <c r="B3" s="23" t="s">
        <v>121</v>
      </c>
      <c r="C3" s="23" t="s">
        <v>238</v>
      </c>
      <c r="D3" s="23" t="s">
        <v>239</v>
      </c>
      <c r="E3" s="23" t="s">
        <v>240</v>
      </c>
      <c r="F3" s="23" t="s">
        <v>241</v>
      </c>
      <c r="G3" s="23" t="s">
        <v>242</v>
      </c>
      <c r="H3" s="23" t="s">
        <v>127</v>
      </c>
      <c r="I3" s="23" t="s">
        <v>80</v>
      </c>
    </row>
    <row r="4" customFormat="false" ht="15" hidden="false" customHeight="false" outlineLevel="0" collapsed="false">
      <c r="A4" s="25" t="s">
        <v>17</v>
      </c>
      <c r="B4" s="24" t="s">
        <v>18</v>
      </c>
      <c r="C4" s="25" t="n">
        <v>0</v>
      </c>
      <c r="D4" s="25" t="n">
        <v>0</v>
      </c>
      <c r="E4" s="25" t="n">
        <v>0</v>
      </c>
      <c r="F4" s="25" t="n">
        <v>0</v>
      </c>
      <c r="G4" s="25" t="n">
        <v>0</v>
      </c>
      <c r="H4" s="25" t="n">
        <v>0</v>
      </c>
      <c r="I4" s="25" t="n">
        <f aca="false">SUM(C4:H4)</f>
        <v>0</v>
      </c>
    </row>
    <row r="5" customFormat="false" ht="15" hidden="false" customHeight="false" outlineLevel="0" collapsed="false">
      <c r="A5" s="26"/>
      <c r="B5" s="24" t="s">
        <v>19</v>
      </c>
      <c r="C5" s="25" t="n">
        <v>0</v>
      </c>
      <c r="D5" s="25" t="n">
        <v>0</v>
      </c>
      <c r="E5" s="25" t="n">
        <v>0</v>
      </c>
      <c r="F5" s="25" t="n">
        <v>1</v>
      </c>
      <c r="G5" s="25" t="n">
        <v>2</v>
      </c>
      <c r="H5" s="25" t="n">
        <v>1</v>
      </c>
      <c r="I5" s="25" t="n">
        <f aca="false">SUM(C5:H5)</f>
        <v>4</v>
      </c>
    </row>
    <row r="6" customFormat="false" ht="15" hidden="false" customHeight="false" outlineLevel="0" collapsed="false">
      <c r="A6" s="26"/>
      <c r="B6" s="24" t="s">
        <v>20</v>
      </c>
      <c r="C6" s="25" t="n">
        <v>0</v>
      </c>
      <c r="D6" s="25" t="n">
        <v>0</v>
      </c>
      <c r="E6" s="25" t="n">
        <v>0</v>
      </c>
      <c r="F6" s="25" t="n">
        <v>0</v>
      </c>
      <c r="G6" s="25" t="n">
        <v>0</v>
      </c>
      <c r="H6" s="25" t="n">
        <v>0</v>
      </c>
      <c r="I6" s="25" t="n">
        <f aca="false">SUM(C6:H6)</f>
        <v>0</v>
      </c>
    </row>
    <row r="7" customFormat="false" ht="15" hidden="false" customHeight="false" outlineLevel="0" collapsed="false">
      <c r="A7" s="26"/>
      <c r="B7" s="24" t="s">
        <v>21</v>
      </c>
      <c r="C7" s="25" t="n">
        <v>0</v>
      </c>
      <c r="D7" s="25" t="n">
        <v>1</v>
      </c>
      <c r="E7" s="25" t="n">
        <v>0</v>
      </c>
      <c r="F7" s="25" t="n">
        <v>1</v>
      </c>
      <c r="G7" s="25" t="n">
        <v>0</v>
      </c>
      <c r="H7" s="25" t="n">
        <v>0</v>
      </c>
      <c r="I7" s="25" t="n">
        <f aca="false">SUM(C7:H7)</f>
        <v>2</v>
      </c>
    </row>
    <row r="8" customFormat="false" ht="15" hidden="false" customHeight="false" outlineLevel="0" collapsed="false">
      <c r="A8" s="27"/>
      <c r="B8" s="28" t="s">
        <v>22</v>
      </c>
      <c r="C8" s="27" t="n">
        <f aca="false">SUM(C4:C7)</f>
        <v>0</v>
      </c>
      <c r="D8" s="27" t="n">
        <f aca="false">SUM(D4:D7)</f>
        <v>1</v>
      </c>
      <c r="E8" s="27" t="n">
        <f aca="false">SUM(E4:E7)</f>
        <v>0</v>
      </c>
      <c r="F8" s="27" t="n">
        <f aca="false">SUM(F4:F7)</f>
        <v>2</v>
      </c>
      <c r="G8" s="27" t="n">
        <f aca="false">SUM(G4:G7)</f>
        <v>2</v>
      </c>
      <c r="H8" s="27" t="n">
        <f aca="false">SUM(H4:H7)</f>
        <v>1</v>
      </c>
      <c r="I8" s="27" t="n">
        <f aca="false">SUM(I4:I7)</f>
        <v>6</v>
      </c>
    </row>
    <row r="9" customFormat="false" ht="15" hidden="false" customHeight="false" outlineLevel="0" collapsed="false">
      <c r="A9" s="25" t="s">
        <v>23</v>
      </c>
      <c r="B9" s="24" t="s">
        <v>24</v>
      </c>
      <c r="C9" s="25" t="n">
        <v>0</v>
      </c>
      <c r="D9" s="25" t="n">
        <v>0</v>
      </c>
      <c r="E9" s="25" t="n">
        <v>0</v>
      </c>
      <c r="F9" s="25" t="n">
        <v>0</v>
      </c>
      <c r="G9" s="25" t="n">
        <v>0</v>
      </c>
      <c r="H9" s="25" t="n">
        <v>0</v>
      </c>
      <c r="I9" s="25" t="n">
        <f aca="false">SUM(C9:H9)</f>
        <v>0</v>
      </c>
    </row>
    <row r="10" customFormat="false" ht="15" hidden="false" customHeight="false" outlineLevel="0" collapsed="false">
      <c r="A10" s="29"/>
      <c r="B10" s="24" t="s">
        <v>25</v>
      </c>
      <c r="C10" s="25" t="n">
        <v>0</v>
      </c>
      <c r="D10" s="25" t="n">
        <v>1</v>
      </c>
      <c r="E10" s="25" t="n">
        <v>0</v>
      </c>
      <c r="F10" s="25" t="n">
        <v>2</v>
      </c>
      <c r="G10" s="25" t="n">
        <v>0</v>
      </c>
      <c r="H10" s="25" t="n">
        <v>0</v>
      </c>
      <c r="I10" s="25" t="n">
        <f aca="false">SUM(C10:H10)</f>
        <v>3</v>
      </c>
    </row>
    <row r="11" customFormat="false" ht="15" hidden="false" customHeight="false" outlineLevel="0" collapsed="false">
      <c r="A11" s="29"/>
      <c r="B11" s="24" t="s">
        <v>26</v>
      </c>
      <c r="C11" s="25" t="n">
        <v>0</v>
      </c>
      <c r="D11" s="25" t="n">
        <v>0</v>
      </c>
      <c r="E11" s="25" t="n">
        <v>0</v>
      </c>
      <c r="F11" s="25" t="n">
        <v>0</v>
      </c>
      <c r="G11" s="25" t="n">
        <v>1</v>
      </c>
      <c r="H11" s="25" t="n">
        <v>0</v>
      </c>
      <c r="I11" s="25" t="n">
        <f aca="false">SUM(C11:H11)</f>
        <v>1</v>
      </c>
    </row>
    <row r="12" customFormat="false" ht="15" hidden="false" customHeight="false" outlineLevel="0" collapsed="false">
      <c r="A12" s="29"/>
      <c r="B12" s="24" t="s">
        <v>27</v>
      </c>
      <c r="C12" s="25" t="n">
        <v>0</v>
      </c>
      <c r="D12" s="25" t="n">
        <v>0</v>
      </c>
      <c r="E12" s="25" t="n">
        <v>1</v>
      </c>
      <c r="F12" s="25" t="n">
        <v>1</v>
      </c>
      <c r="G12" s="25" t="n">
        <v>0</v>
      </c>
      <c r="H12" s="25" t="n">
        <v>0</v>
      </c>
      <c r="I12" s="25" t="n">
        <f aca="false">SUM(C12:H12)</f>
        <v>2</v>
      </c>
    </row>
    <row r="13" customFormat="false" ht="15" hidden="false" customHeight="false" outlineLevel="0" collapsed="false">
      <c r="A13" s="27"/>
      <c r="B13" s="28" t="s">
        <v>22</v>
      </c>
      <c r="C13" s="27" t="n">
        <f aca="false">SUM(C9:C12)</f>
        <v>0</v>
      </c>
      <c r="D13" s="27" t="n">
        <f aca="false">SUM(D9:D12)</f>
        <v>1</v>
      </c>
      <c r="E13" s="27" t="n">
        <f aca="false">SUM(E9:E12)</f>
        <v>1</v>
      </c>
      <c r="F13" s="27" t="n">
        <f aca="false">SUM(F9:F12)</f>
        <v>3</v>
      </c>
      <c r="G13" s="27" t="n">
        <f aca="false">SUM(G9:G12)</f>
        <v>1</v>
      </c>
      <c r="H13" s="27" t="n">
        <f aca="false">SUM(H9:H12)</f>
        <v>0</v>
      </c>
      <c r="I13" s="27" t="n">
        <f aca="false">SUM(I9:I12)</f>
        <v>6</v>
      </c>
    </row>
    <row r="14" customFormat="false" ht="15" hidden="false" customHeight="false" outlineLevel="0" collapsed="false">
      <c r="A14" s="25" t="s">
        <v>28</v>
      </c>
      <c r="B14" s="24" t="s">
        <v>29</v>
      </c>
      <c r="C14" s="25" t="n">
        <v>0</v>
      </c>
      <c r="D14" s="25" t="n">
        <v>0</v>
      </c>
      <c r="E14" s="25" t="n">
        <v>0</v>
      </c>
      <c r="F14" s="25" t="n">
        <v>0</v>
      </c>
      <c r="G14" s="25" t="n">
        <v>0</v>
      </c>
      <c r="H14" s="25" t="n">
        <v>0</v>
      </c>
      <c r="I14" s="25" t="n">
        <f aca="false">SUM(C14:H14)</f>
        <v>0</v>
      </c>
    </row>
    <row r="15" customFormat="false" ht="15" hidden="false" customHeight="false" outlineLevel="0" collapsed="false">
      <c r="A15" s="27"/>
      <c r="B15" s="28" t="s">
        <v>22</v>
      </c>
      <c r="C15" s="27" t="n">
        <f aca="false">SUM(C14)</f>
        <v>0</v>
      </c>
      <c r="D15" s="27" t="n">
        <f aca="false">SUM(D14)</f>
        <v>0</v>
      </c>
      <c r="E15" s="27" t="n">
        <f aca="false">SUM(E14)</f>
        <v>0</v>
      </c>
      <c r="F15" s="27" t="n">
        <f aca="false">SUM(F14)</f>
        <v>0</v>
      </c>
      <c r="G15" s="27" t="n">
        <f aca="false">SUM(G14)</f>
        <v>0</v>
      </c>
      <c r="H15" s="27" t="n">
        <f aca="false">SUM(H14)</f>
        <v>0</v>
      </c>
      <c r="I15" s="27" t="n">
        <f aca="false">SUM(I14)</f>
        <v>0</v>
      </c>
    </row>
    <row r="16" customFormat="false" ht="15" hidden="false" customHeight="false" outlineLevel="0" collapsed="false">
      <c r="A16" s="25" t="s">
        <v>30</v>
      </c>
      <c r="B16" s="24" t="s">
        <v>31</v>
      </c>
      <c r="C16" s="25" t="n">
        <v>0</v>
      </c>
      <c r="D16" s="25" t="n">
        <v>0</v>
      </c>
      <c r="E16" s="25" t="n">
        <v>0</v>
      </c>
      <c r="F16" s="25" t="n">
        <v>0</v>
      </c>
      <c r="G16" s="25" t="n">
        <v>0</v>
      </c>
      <c r="H16" s="25" t="n">
        <v>0</v>
      </c>
      <c r="I16" s="25" t="n">
        <f aca="false">SUM(C16:H16)</f>
        <v>0</v>
      </c>
    </row>
    <row r="17" customFormat="false" ht="15" hidden="false" customHeight="false" outlineLevel="0" collapsed="false">
      <c r="A17" s="25"/>
      <c r="B17" s="24" t="s">
        <v>32</v>
      </c>
      <c r="C17" s="25" t="n">
        <v>0</v>
      </c>
      <c r="D17" s="25" t="n">
        <v>0</v>
      </c>
      <c r="E17" s="25" t="n">
        <v>0</v>
      </c>
      <c r="F17" s="25" t="n">
        <v>1</v>
      </c>
      <c r="G17" s="25" t="n">
        <v>0</v>
      </c>
      <c r="H17" s="25" t="n">
        <v>0</v>
      </c>
      <c r="I17" s="25" t="n">
        <f aca="false">SUM(C17:H17)</f>
        <v>1</v>
      </c>
    </row>
    <row r="18" customFormat="false" ht="15" hidden="false" customHeight="false" outlineLevel="0" collapsed="false">
      <c r="A18" s="25"/>
      <c r="B18" s="24" t="s">
        <v>33</v>
      </c>
      <c r="C18" s="25" t="n">
        <v>0</v>
      </c>
      <c r="D18" s="25" t="n">
        <v>0</v>
      </c>
      <c r="E18" s="25" t="n">
        <v>0</v>
      </c>
      <c r="F18" s="25" t="n">
        <v>0</v>
      </c>
      <c r="G18" s="25" t="n">
        <v>0</v>
      </c>
      <c r="H18" s="25" t="n">
        <v>0</v>
      </c>
      <c r="I18" s="25" t="n">
        <f aca="false">SUM(C18:H18)</f>
        <v>0</v>
      </c>
    </row>
    <row r="19" customFormat="false" ht="15" hidden="false" customHeight="false" outlineLevel="0" collapsed="false">
      <c r="A19" s="27"/>
      <c r="B19" s="28" t="s">
        <v>22</v>
      </c>
      <c r="C19" s="27" t="n">
        <f aca="false">SUM(C16:C18)</f>
        <v>0</v>
      </c>
      <c r="D19" s="27" t="n">
        <f aca="false">SUM(D16:D18)</f>
        <v>0</v>
      </c>
      <c r="E19" s="27" t="n">
        <f aca="false">SUM(E16:E18)</f>
        <v>0</v>
      </c>
      <c r="F19" s="27" t="n">
        <f aca="false">SUM(F16:F18)</f>
        <v>1</v>
      </c>
      <c r="G19" s="27" t="n">
        <f aca="false">SUM(G16:G18)</f>
        <v>0</v>
      </c>
      <c r="H19" s="27" t="n">
        <f aca="false">SUM(H16:H18)</f>
        <v>0</v>
      </c>
      <c r="I19" s="27" t="n">
        <f aca="false">SUM(I16:I18)</f>
        <v>1</v>
      </c>
    </row>
    <row r="20" customFormat="false" ht="15" hidden="false" customHeight="false" outlineLevel="0" collapsed="false">
      <c r="A20" s="25" t="s">
        <v>34</v>
      </c>
      <c r="B20" s="24" t="s">
        <v>35</v>
      </c>
      <c r="C20" s="25" t="n">
        <v>1</v>
      </c>
      <c r="D20" s="25" t="n">
        <v>0</v>
      </c>
      <c r="E20" s="25" t="n">
        <v>2</v>
      </c>
      <c r="F20" s="25" t="n">
        <v>0</v>
      </c>
      <c r="G20" s="25" t="n">
        <v>0</v>
      </c>
      <c r="H20" s="25" t="n">
        <v>0</v>
      </c>
      <c r="I20" s="25" t="n">
        <f aca="false">SUM(C20:H20)</f>
        <v>3</v>
      </c>
    </row>
    <row r="21" customFormat="false" ht="15" hidden="false" customHeight="false" outlineLevel="0" collapsed="false">
      <c r="A21" s="25"/>
      <c r="B21" s="24" t="s">
        <v>36</v>
      </c>
      <c r="C21" s="25" t="n">
        <v>0</v>
      </c>
      <c r="D21" s="25" t="n">
        <v>0</v>
      </c>
      <c r="E21" s="25" t="n">
        <v>0</v>
      </c>
      <c r="F21" s="25" t="n">
        <v>2</v>
      </c>
      <c r="G21" s="25" t="n">
        <v>0</v>
      </c>
      <c r="H21" s="25" t="n">
        <v>0</v>
      </c>
      <c r="I21" s="25" t="n">
        <f aca="false">SUM(C21:H21)</f>
        <v>2</v>
      </c>
    </row>
    <row r="22" customFormat="false" ht="15" hidden="false" customHeight="false" outlineLevel="0" collapsed="false">
      <c r="A22" s="25"/>
      <c r="B22" s="24" t="s">
        <v>37</v>
      </c>
      <c r="C22" s="25" t="n">
        <v>0</v>
      </c>
      <c r="D22" s="25" t="n">
        <v>0</v>
      </c>
      <c r="E22" s="25" t="n">
        <v>0</v>
      </c>
      <c r="F22" s="25" t="n">
        <v>0</v>
      </c>
      <c r="G22" s="25" t="n">
        <v>1</v>
      </c>
      <c r="H22" s="25" t="n">
        <v>0</v>
      </c>
      <c r="I22" s="25" t="n">
        <f aca="false">SUM(C22:H22)</f>
        <v>1</v>
      </c>
    </row>
    <row r="23" customFormat="false" ht="15" hidden="false" customHeight="false" outlineLevel="0" collapsed="false">
      <c r="A23" s="27"/>
      <c r="B23" s="28" t="s">
        <v>22</v>
      </c>
      <c r="C23" s="27" t="n">
        <f aca="false">SUM(C20:C22)</f>
        <v>1</v>
      </c>
      <c r="D23" s="27" t="n">
        <f aca="false">SUM(D20:D22)</f>
        <v>0</v>
      </c>
      <c r="E23" s="27" t="n">
        <f aca="false">SUM(E20:E22)</f>
        <v>2</v>
      </c>
      <c r="F23" s="27" t="n">
        <f aca="false">SUM(F20:F22)</f>
        <v>2</v>
      </c>
      <c r="G23" s="27" t="n">
        <f aca="false">SUM(G20:G22)</f>
        <v>1</v>
      </c>
      <c r="H23" s="27" t="n">
        <f aca="false">SUM(H20:H22)</f>
        <v>0</v>
      </c>
      <c r="I23" s="27" t="n">
        <f aca="false">SUM(I20:I22)</f>
        <v>6</v>
      </c>
    </row>
    <row r="24" customFormat="false" ht="15" hidden="false" customHeight="false" outlineLevel="0" collapsed="false">
      <c r="A24" s="25" t="s">
        <v>38</v>
      </c>
      <c r="B24" s="24" t="s">
        <v>39</v>
      </c>
      <c r="C24" s="25" t="n">
        <v>0</v>
      </c>
      <c r="D24" s="25" t="n">
        <v>0</v>
      </c>
      <c r="E24" s="25" t="n">
        <v>0</v>
      </c>
      <c r="F24" s="25" t="n">
        <v>0</v>
      </c>
      <c r="G24" s="25" t="n">
        <v>0</v>
      </c>
      <c r="H24" s="25" t="n">
        <v>0</v>
      </c>
      <c r="I24" s="25" t="n">
        <f aca="false">SUM(C24:H24)</f>
        <v>0</v>
      </c>
    </row>
    <row r="25" customFormat="false" ht="15" hidden="false" customHeight="false" outlineLevel="0" collapsed="false">
      <c r="A25" s="25"/>
      <c r="B25" s="24" t="s">
        <v>40</v>
      </c>
      <c r="C25" s="25" t="n">
        <v>0</v>
      </c>
      <c r="D25" s="25" t="n">
        <v>0</v>
      </c>
      <c r="E25" s="25" t="n">
        <v>0</v>
      </c>
      <c r="F25" s="25" t="n">
        <v>2</v>
      </c>
      <c r="G25" s="25" t="n">
        <v>0</v>
      </c>
      <c r="H25" s="25" t="n">
        <v>0</v>
      </c>
      <c r="I25" s="25" t="n">
        <f aca="false">SUM(C25:H25)</f>
        <v>2</v>
      </c>
    </row>
    <row r="26" customFormat="false" ht="15" hidden="false" customHeight="false" outlineLevel="0" collapsed="false">
      <c r="A26" s="25"/>
      <c r="B26" s="24" t="s">
        <v>41</v>
      </c>
      <c r="C26" s="25" t="n">
        <v>0</v>
      </c>
      <c r="D26" s="25" t="n">
        <v>3</v>
      </c>
      <c r="E26" s="25" t="n">
        <v>2</v>
      </c>
      <c r="F26" s="25" t="n">
        <v>6</v>
      </c>
      <c r="G26" s="25" t="n">
        <v>5</v>
      </c>
      <c r="H26" s="25" t="n">
        <v>0</v>
      </c>
      <c r="I26" s="25" t="n">
        <f aca="false">SUM(C26:H26)</f>
        <v>16</v>
      </c>
    </row>
    <row r="27" customFormat="false" ht="15" hidden="false" customHeight="false" outlineLevel="0" collapsed="false">
      <c r="A27" s="25"/>
      <c r="B27" s="24" t="s">
        <v>42</v>
      </c>
      <c r="C27" s="25" t="n">
        <v>0</v>
      </c>
      <c r="D27" s="25" t="n">
        <v>0</v>
      </c>
      <c r="E27" s="25" t="n">
        <v>0</v>
      </c>
      <c r="F27" s="25" t="n">
        <v>1</v>
      </c>
      <c r="G27" s="25" t="n">
        <v>1</v>
      </c>
      <c r="H27" s="25" t="n">
        <v>0</v>
      </c>
      <c r="I27" s="25" t="n">
        <f aca="false">SUM(C27:H27)</f>
        <v>2</v>
      </c>
    </row>
    <row r="28" customFormat="false" ht="15" hidden="false" customHeight="false" outlineLevel="0" collapsed="false">
      <c r="A28" s="27"/>
      <c r="B28" s="28" t="s">
        <v>22</v>
      </c>
      <c r="C28" s="27" t="n">
        <f aca="false">SUM(C24:C27)</f>
        <v>0</v>
      </c>
      <c r="D28" s="27" t="n">
        <f aca="false">SUM(D24:D27)</f>
        <v>3</v>
      </c>
      <c r="E28" s="27" t="n">
        <f aca="false">SUM(E24:E27)</f>
        <v>2</v>
      </c>
      <c r="F28" s="27" t="n">
        <f aca="false">SUM(F24:F27)</f>
        <v>9</v>
      </c>
      <c r="G28" s="27" t="n">
        <f aca="false">SUM(G24:G27)</f>
        <v>6</v>
      </c>
      <c r="H28" s="27" t="n">
        <f aca="false">SUM(H24:H27)</f>
        <v>0</v>
      </c>
      <c r="I28" s="27" t="n">
        <f aca="false">SUM(I24:I27)</f>
        <v>20</v>
      </c>
    </row>
    <row r="29" customFormat="false" ht="15" hidden="false" customHeight="false" outlineLevel="0" collapsed="false">
      <c r="A29" s="25" t="s">
        <v>43</v>
      </c>
      <c r="B29" s="24" t="s">
        <v>243</v>
      </c>
      <c r="C29" s="25" t="n">
        <v>3</v>
      </c>
      <c r="D29" s="25" t="n">
        <v>2</v>
      </c>
      <c r="E29" s="25" t="n">
        <v>8</v>
      </c>
      <c r="F29" s="25" t="n">
        <v>5</v>
      </c>
      <c r="G29" s="25" t="n">
        <v>0</v>
      </c>
      <c r="H29" s="25" t="n">
        <v>1</v>
      </c>
      <c r="I29" s="25" t="n">
        <f aca="false">SUM(C29:H29)</f>
        <v>19</v>
      </c>
    </row>
    <row r="30" customFormat="false" ht="15" hidden="false" customHeight="false" outlineLevel="0" collapsed="false">
      <c r="A30" s="25"/>
      <c r="B30" s="24" t="s">
        <v>45</v>
      </c>
      <c r="C30" s="25" t="n">
        <v>0</v>
      </c>
      <c r="D30" s="25" t="n">
        <v>0</v>
      </c>
      <c r="E30" s="25" t="n">
        <v>0</v>
      </c>
      <c r="F30" s="25" t="n">
        <v>0</v>
      </c>
      <c r="G30" s="25" t="n">
        <v>0</v>
      </c>
      <c r="H30" s="25" t="n">
        <v>1</v>
      </c>
      <c r="I30" s="25" t="n">
        <f aca="false">SUM(C30:H30)</f>
        <v>1</v>
      </c>
    </row>
    <row r="31" customFormat="false" ht="15" hidden="false" customHeight="false" outlineLevel="0" collapsed="false">
      <c r="A31" s="25"/>
      <c r="B31" s="24" t="s">
        <v>46</v>
      </c>
      <c r="C31" s="25" t="n">
        <v>0</v>
      </c>
      <c r="D31" s="25" t="n">
        <v>3</v>
      </c>
      <c r="E31" s="25" t="n">
        <v>19</v>
      </c>
      <c r="F31" s="25" t="n">
        <v>25</v>
      </c>
      <c r="G31" s="25" t="n">
        <v>3</v>
      </c>
      <c r="H31" s="25" t="n">
        <v>7</v>
      </c>
      <c r="I31" s="25" t="n">
        <f aca="false">SUM(C31:H31)</f>
        <v>57</v>
      </c>
    </row>
    <row r="32" customFormat="false" ht="15" hidden="false" customHeight="false" outlineLevel="0" collapsed="false">
      <c r="A32" s="27"/>
      <c r="B32" s="28" t="s">
        <v>22</v>
      </c>
      <c r="C32" s="27" t="n">
        <f aca="false">SUM(C29:C31)</f>
        <v>3</v>
      </c>
      <c r="D32" s="27" t="n">
        <f aca="false">SUM(D29:D31)</f>
        <v>5</v>
      </c>
      <c r="E32" s="27" t="n">
        <f aca="false">SUM(E29:E31)</f>
        <v>27</v>
      </c>
      <c r="F32" s="27" t="n">
        <f aca="false">SUM(F29:F31)</f>
        <v>30</v>
      </c>
      <c r="G32" s="27" t="n">
        <f aca="false">SUM(G29:G31)</f>
        <v>3</v>
      </c>
      <c r="H32" s="27" t="n">
        <f aca="false">SUM(H29:H31)</f>
        <v>9</v>
      </c>
      <c r="I32" s="27" t="n">
        <f aca="false">SUM(I29:I31)</f>
        <v>77</v>
      </c>
    </row>
    <row r="33" customFormat="false" ht="15" hidden="false" customHeight="false" outlineLevel="0" collapsed="false">
      <c r="A33" s="25" t="s">
        <v>47</v>
      </c>
      <c r="B33" s="24" t="s">
        <v>91</v>
      </c>
      <c r="C33" s="25" t="n">
        <v>0</v>
      </c>
      <c r="D33" s="25" t="n">
        <v>0</v>
      </c>
      <c r="E33" s="25" t="n">
        <v>0</v>
      </c>
      <c r="F33" s="25" t="n">
        <v>0</v>
      </c>
      <c r="G33" s="25" t="n">
        <v>0</v>
      </c>
      <c r="H33" s="25" t="n">
        <v>0</v>
      </c>
      <c r="I33" s="25" t="n">
        <f aca="false">SUM(C33:H33)</f>
        <v>0</v>
      </c>
    </row>
    <row r="34" customFormat="false" ht="15" hidden="false" customHeight="false" outlineLevel="0" collapsed="false">
      <c r="A34" s="25"/>
      <c r="B34" s="24" t="s">
        <v>92</v>
      </c>
      <c r="C34" s="25" t="n">
        <v>0</v>
      </c>
      <c r="D34" s="25" t="n">
        <v>0</v>
      </c>
      <c r="E34" s="25" t="n">
        <v>3</v>
      </c>
      <c r="F34" s="25" t="n">
        <v>9</v>
      </c>
      <c r="G34" s="25" t="n">
        <v>6</v>
      </c>
      <c r="H34" s="25" t="n">
        <v>6</v>
      </c>
      <c r="I34" s="25" t="n">
        <f aca="false">SUM(C34:H34)</f>
        <v>24</v>
      </c>
    </row>
    <row r="35" customFormat="false" ht="15" hidden="false" customHeight="false" outlineLevel="0" collapsed="false">
      <c r="A35" s="25"/>
      <c r="B35" s="24" t="s">
        <v>93</v>
      </c>
      <c r="C35" s="25" t="n">
        <v>0</v>
      </c>
      <c r="D35" s="25" t="n">
        <v>0</v>
      </c>
      <c r="E35" s="25" t="n">
        <v>0</v>
      </c>
      <c r="F35" s="25" t="n">
        <v>0</v>
      </c>
      <c r="G35" s="25" t="n">
        <v>0</v>
      </c>
      <c r="H35" s="25" t="n">
        <v>0</v>
      </c>
      <c r="I35" s="25" t="n">
        <f aca="false">SUM(C35:H35)</f>
        <v>0</v>
      </c>
    </row>
    <row r="36" customFormat="false" ht="15" hidden="false" customHeight="false" outlineLevel="0" collapsed="false">
      <c r="A36" s="25"/>
      <c r="B36" s="24" t="s">
        <v>94</v>
      </c>
      <c r="C36" s="25" t="n">
        <v>0</v>
      </c>
      <c r="D36" s="25" t="n">
        <v>0</v>
      </c>
      <c r="E36" s="25" t="n">
        <v>1</v>
      </c>
      <c r="F36" s="25" t="n">
        <v>15</v>
      </c>
      <c r="G36" s="25" t="n">
        <v>4</v>
      </c>
      <c r="H36" s="25" t="n">
        <v>0</v>
      </c>
      <c r="I36" s="25" t="n">
        <f aca="false">SUM(C36:H36)</f>
        <v>20</v>
      </c>
    </row>
    <row r="37" customFormat="false" ht="15" hidden="false" customHeight="false" outlineLevel="0" collapsed="false">
      <c r="A37" s="25"/>
      <c r="B37" s="24" t="s">
        <v>95</v>
      </c>
      <c r="C37" s="25" t="n">
        <v>0</v>
      </c>
      <c r="D37" s="25" t="n">
        <v>1</v>
      </c>
      <c r="E37" s="25" t="n">
        <v>3</v>
      </c>
      <c r="F37" s="25" t="n">
        <v>14</v>
      </c>
      <c r="G37" s="25" t="n">
        <v>2</v>
      </c>
      <c r="H37" s="25" t="n">
        <v>5</v>
      </c>
      <c r="I37" s="25" t="n">
        <f aca="false">SUM(C37:H37)</f>
        <v>25</v>
      </c>
    </row>
    <row r="38" customFormat="false" ht="15" hidden="false" customHeight="false" outlineLevel="0" collapsed="false">
      <c r="A38" s="25"/>
      <c r="B38" s="24" t="s">
        <v>96</v>
      </c>
      <c r="C38" s="25" t="n">
        <v>1</v>
      </c>
      <c r="D38" s="25" t="n">
        <v>0</v>
      </c>
      <c r="E38" s="25" t="n">
        <v>5</v>
      </c>
      <c r="F38" s="25" t="n">
        <v>15</v>
      </c>
      <c r="G38" s="25" t="n">
        <v>5</v>
      </c>
      <c r="H38" s="25" t="n">
        <v>3</v>
      </c>
      <c r="I38" s="25" t="n">
        <f aca="false">SUM(C38:H38)</f>
        <v>29</v>
      </c>
    </row>
    <row r="39" customFormat="false" ht="15" hidden="false" customHeight="false" outlineLevel="0" collapsed="false">
      <c r="A39" s="25"/>
      <c r="B39" s="24" t="s">
        <v>97</v>
      </c>
      <c r="C39" s="25" t="n">
        <v>0</v>
      </c>
      <c r="D39" s="25" t="n">
        <v>0</v>
      </c>
      <c r="E39" s="25" t="n">
        <v>0</v>
      </c>
      <c r="F39" s="25" t="n">
        <v>9</v>
      </c>
      <c r="G39" s="25" t="n">
        <v>2</v>
      </c>
      <c r="H39" s="25" t="n">
        <v>1</v>
      </c>
      <c r="I39" s="25" t="n">
        <f aca="false">SUM(C39:H39)</f>
        <v>12</v>
      </c>
    </row>
    <row r="40" customFormat="false" ht="15" hidden="false" customHeight="false" outlineLevel="0" collapsed="false">
      <c r="A40" s="25"/>
      <c r="B40" s="24" t="s">
        <v>98</v>
      </c>
      <c r="C40" s="25" t="n">
        <v>0</v>
      </c>
      <c r="D40" s="25" t="n">
        <v>0</v>
      </c>
      <c r="E40" s="25" t="n">
        <v>0</v>
      </c>
      <c r="F40" s="25" t="n">
        <v>0</v>
      </c>
      <c r="G40" s="25" t="n">
        <v>0</v>
      </c>
      <c r="H40" s="25" t="n">
        <v>0</v>
      </c>
      <c r="I40" s="25" t="n">
        <f aca="false">SUM(C40:H40)</f>
        <v>0</v>
      </c>
    </row>
    <row r="41" customFormat="false" ht="15" hidden="false" customHeight="false" outlineLevel="0" collapsed="false">
      <c r="A41" s="25"/>
      <c r="B41" s="24" t="s">
        <v>99</v>
      </c>
      <c r="C41" s="25" t="n">
        <v>0</v>
      </c>
      <c r="D41" s="25" t="n">
        <v>0</v>
      </c>
      <c r="E41" s="25" t="n">
        <v>2</v>
      </c>
      <c r="F41" s="25" t="n">
        <v>4</v>
      </c>
      <c r="G41" s="25" t="n">
        <v>1</v>
      </c>
      <c r="H41" s="25" t="n">
        <v>0</v>
      </c>
      <c r="I41" s="25" t="n">
        <f aca="false">SUM(C41:H41)</f>
        <v>7</v>
      </c>
    </row>
    <row r="42" customFormat="false" ht="15" hidden="false" customHeight="false" outlineLevel="0" collapsed="false">
      <c r="A42" s="27"/>
      <c r="B42" s="28" t="s">
        <v>22</v>
      </c>
      <c r="C42" s="27" t="n">
        <f aca="false">SUM(C33:C41)</f>
        <v>1</v>
      </c>
      <c r="D42" s="27" t="n">
        <f aca="false">SUM(D33:D41)</f>
        <v>1</v>
      </c>
      <c r="E42" s="27" t="n">
        <f aca="false">SUM(E33:E41)</f>
        <v>14</v>
      </c>
      <c r="F42" s="27" t="n">
        <f aca="false">SUM(F33:F41)</f>
        <v>66</v>
      </c>
      <c r="G42" s="27" t="n">
        <f aca="false">SUM(G33:G41)</f>
        <v>20</v>
      </c>
      <c r="H42" s="27" t="n">
        <f aca="false">SUM(H33:H41)</f>
        <v>15</v>
      </c>
      <c r="I42" s="27" t="n">
        <f aca="false">SUM(I33:I41)</f>
        <v>117</v>
      </c>
    </row>
    <row r="43" customFormat="false" ht="15" hidden="false" customHeight="false" outlineLevel="0" collapsed="false">
      <c r="A43" s="25" t="s">
        <v>57</v>
      </c>
      <c r="B43" s="24" t="s">
        <v>101</v>
      </c>
      <c r="C43" s="25" t="n">
        <v>5</v>
      </c>
      <c r="D43" s="25" t="n">
        <v>1</v>
      </c>
      <c r="E43" s="25" t="n">
        <v>5</v>
      </c>
      <c r="F43" s="25" t="n">
        <v>16</v>
      </c>
      <c r="G43" s="25" t="n">
        <v>3</v>
      </c>
      <c r="H43" s="25" t="n">
        <v>5</v>
      </c>
      <c r="I43" s="25" t="n">
        <f aca="false">SUM(C43:H43)</f>
        <v>35</v>
      </c>
    </row>
    <row r="44" customFormat="false" ht="15" hidden="false" customHeight="false" outlineLevel="0" collapsed="false">
      <c r="A44" s="25"/>
      <c r="B44" s="24" t="s">
        <v>102</v>
      </c>
      <c r="C44" s="25" t="n">
        <v>0</v>
      </c>
      <c r="D44" s="25" t="n">
        <v>0</v>
      </c>
      <c r="E44" s="25" t="n">
        <v>0</v>
      </c>
      <c r="F44" s="25" t="n">
        <v>0</v>
      </c>
      <c r="G44" s="25" t="n">
        <v>0</v>
      </c>
      <c r="H44" s="25" t="n">
        <v>0</v>
      </c>
      <c r="I44" s="25" t="n">
        <f aca="false">SUM(C44:H44)</f>
        <v>0</v>
      </c>
    </row>
    <row r="45" customFormat="false" ht="15" hidden="false" customHeight="false" outlineLevel="0" collapsed="false">
      <c r="A45" s="25"/>
      <c r="B45" s="24" t="s">
        <v>103</v>
      </c>
      <c r="C45" s="25" t="n">
        <v>1</v>
      </c>
      <c r="D45" s="25" t="n">
        <v>0</v>
      </c>
      <c r="E45" s="25" t="n">
        <v>0</v>
      </c>
      <c r="F45" s="25" t="n">
        <v>0</v>
      </c>
      <c r="G45" s="25" t="n">
        <v>0</v>
      </c>
      <c r="H45" s="25" t="n">
        <v>0</v>
      </c>
      <c r="I45" s="25" t="n">
        <f aca="false">SUM(C45:H45)</f>
        <v>1</v>
      </c>
    </row>
    <row r="46" customFormat="false" ht="15" hidden="false" customHeight="false" outlineLevel="0" collapsed="false">
      <c r="A46" s="25"/>
      <c r="B46" s="24" t="s">
        <v>104</v>
      </c>
      <c r="C46" s="25" t="n">
        <v>0</v>
      </c>
      <c r="D46" s="25" t="n">
        <v>0</v>
      </c>
      <c r="E46" s="25" t="n">
        <v>0</v>
      </c>
      <c r="F46" s="25" t="n">
        <v>0</v>
      </c>
      <c r="G46" s="25" t="n">
        <v>0</v>
      </c>
      <c r="H46" s="25" t="n">
        <v>0</v>
      </c>
      <c r="I46" s="25" t="n">
        <f aca="false">SUM(C46:H46)</f>
        <v>0</v>
      </c>
    </row>
    <row r="47" customFormat="false" ht="15" hidden="false" customHeight="false" outlineLevel="0" collapsed="false">
      <c r="A47" s="25"/>
      <c r="B47" s="24" t="s">
        <v>105</v>
      </c>
      <c r="C47" s="25" t="n">
        <v>0</v>
      </c>
      <c r="D47" s="25" t="n">
        <v>0</v>
      </c>
      <c r="E47" s="25" t="n">
        <v>0</v>
      </c>
      <c r="F47" s="25" t="n">
        <v>0</v>
      </c>
      <c r="G47" s="25" t="n">
        <v>0</v>
      </c>
      <c r="H47" s="25" t="n">
        <v>0</v>
      </c>
      <c r="I47" s="25" t="n">
        <f aca="false">SUM(C47:H47)</f>
        <v>0</v>
      </c>
    </row>
    <row r="48" customFormat="false" ht="15" hidden="false" customHeight="false" outlineLevel="0" collapsed="false">
      <c r="A48" s="25"/>
      <c r="B48" s="24" t="s">
        <v>106</v>
      </c>
      <c r="C48" s="25" t="n">
        <v>0</v>
      </c>
      <c r="D48" s="25" t="n">
        <v>0</v>
      </c>
      <c r="E48" s="25" t="n">
        <v>0</v>
      </c>
      <c r="F48" s="25" t="n">
        <v>0</v>
      </c>
      <c r="G48" s="25" t="n">
        <v>0</v>
      </c>
      <c r="H48" s="25" t="n">
        <v>0</v>
      </c>
      <c r="I48" s="25" t="n">
        <f aca="false">SUM(C48:H48)</f>
        <v>0</v>
      </c>
    </row>
    <row r="49" customFormat="false" ht="15" hidden="false" customHeight="false" outlineLevel="0" collapsed="false">
      <c r="A49" s="25"/>
      <c r="B49" s="24" t="s">
        <v>107</v>
      </c>
      <c r="C49" s="25" t="n">
        <v>0</v>
      </c>
      <c r="D49" s="25" t="n">
        <v>0</v>
      </c>
      <c r="E49" s="25" t="n">
        <v>0</v>
      </c>
      <c r="F49" s="25" t="n">
        <v>0</v>
      </c>
      <c r="G49" s="25" t="n">
        <v>0</v>
      </c>
      <c r="H49" s="25" t="n">
        <v>0</v>
      </c>
      <c r="I49" s="25" t="n">
        <f aca="false">SUM(C49:H49)</f>
        <v>0</v>
      </c>
    </row>
    <row r="50" customFormat="false" ht="15" hidden="false" customHeight="false" outlineLevel="0" collapsed="false">
      <c r="A50" s="25"/>
      <c r="B50" s="24" t="s">
        <v>108</v>
      </c>
      <c r="C50" s="25" t="n">
        <v>0</v>
      </c>
      <c r="D50" s="25" t="n">
        <v>0</v>
      </c>
      <c r="E50" s="25" t="n">
        <v>1</v>
      </c>
      <c r="F50" s="25" t="n">
        <v>2</v>
      </c>
      <c r="G50" s="25" t="n">
        <v>0</v>
      </c>
      <c r="H50" s="25" t="n">
        <v>0</v>
      </c>
      <c r="I50" s="25" t="n">
        <f aca="false">SUM(C50:H50)</f>
        <v>3</v>
      </c>
    </row>
    <row r="51" customFormat="false" ht="15" hidden="false" customHeight="false" outlineLevel="0" collapsed="false">
      <c r="A51" s="25"/>
      <c r="B51" s="24" t="s">
        <v>109</v>
      </c>
      <c r="C51" s="25" t="n">
        <v>0</v>
      </c>
      <c r="D51" s="25" t="n">
        <v>0</v>
      </c>
      <c r="E51" s="25" t="n">
        <v>3</v>
      </c>
      <c r="F51" s="25" t="n">
        <v>15</v>
      </c>
      <c r="G51" s="25" t="n">
        <v>5</v>
      </c>
      <c r="H51" s="25" t="n">
        <v>4</v>
      </c>
      <c r="I51" s="25" t="n">
        <f aca="false">SUM(C51:H51)</f>
        <v>27</v>
      </c>
    </row>
    <row r="52" customFormat="false" ht="15" hidden="false" customHeight="false" outlineLevel="0" collapsed="false">
      <c r="A52" s="25"/>
      <c r="B52" s="24" t="s">
        <v>110</v>
      </c>
      <c r="C52" s="25" t="n">
        <v>0</v>
      </c>
      <c r="D52" s="25" t="n">
        <v>0</v>
      </c>
      <c r="E52" s="25" t="n">
        <v>0</v>
      </c>
      <c r="F52" s="25" t="n">
        <v>6</v>
      </c>
      <c r="G52" s="25" t="n">
        <v>1</v>
      </c>
      <c r="H52" s="25" t="n">
        <v>1</v>
      </c>
      <c r="I52" s="25" t="n">
        <f aca="false">SUM(C52:H52)</f>
        <v>8</v>
      </c>
    </row>
    <row r="53" customFormat="false" ht="15" hidden="false" customHeight="false" outlineLevel="0" collapsed="false">
      <c r="A53" s="25"/>
      <c r="B53" s="24" t="s">
        <v>111</v>
      </c>
      <c r="C53" s="25" t="n">
        <v>0</v>
      </c>
      <c r="D53" s="25" t="n">
        <v>0</v>
      </c>
      <c r="E53" s="25" t="n">
        <v>0</v>
      </c>
      <c r="F53" s="25" t="n">
        <v>0</v>
      </c>
      <c r="G53" s="25" t="n">
        <v>0</v>
      </c>
      <c r="H53" s="25" t="n">
        <v>0</v>
      </c>
      <c r="I53" s="25" t="n">
        <f aca="false">SUM(C53:H53)</f>
        <v>0</v>
      </c>
    </row>
    <row r="54" customFormat="false" ht="15" hidden="false" customHeight="false" outlineLevel="0" collapsed="false">
      <c r="A54" s="25"/>
      <c r="B54" s="24" t="s">
        <v>112</v>
      </c>
      <c r="C54" s="25" t="n">
        <v>0</v>
      </c>
      <c r="D54" s="25" t="n">
        <v>0</v>
      </c>
      <c r="E54" s="25" t="n">
        <v>0</v>
      </c>
      <c r="F54" s="25" t="n">
        <v>0</v>
      </c>
      <c r="G54" s="25" t="n">
        <v>0</v>
      </c>
      <c r="H54" s="25" t="n">
        <v>0</v>
      </c>
      <c r="I54" s="25" t="n">
        <f aca="false">SUM(C54:H54)</f>
        <v>0</v>
      </c>
    </row>
    <row r="55" customFormat="false" ht="15" hidden="false" customHeight="false" outlineLevel="0" collapsed="false">
      <c r="A55" s="25"/>
      <c r="B55" s="24" t="s">
        <v>113</v>
      </c>
      <c r="C55" s="25" t="n">
        <v>0</v>
      </c>
      <c r="D55" s="25" t="n">
        <v>0</v>
      </c>
      <c r="E55" s="25" t="n">
        <v>0</v>
      </c>
      <c r="F55" s="25" t="n">
        <v>0</v>
      </c>
      <c r="G55" s="25" t="n">
        <v>0</v>
      </c>
      <c r="H55" s="25" t="n">
        <v>0</v>
      </c>
      <c r="I55" s="25" t="n">
        <f aca="false">SUM(C55:H55)</f>
        <v>0</v>
      </c>
    </row>
    <row r="56" customFormat="false" ht="15" hidden="false" customHeight="false" outlineLevel="0" collapsed="false">
      <c r="A56" s="25"/>
      <c r="B56" s="24" t="s">
        <v>114</v>
      </c>
      <c r="C56" s="25" t="n">
        <v>0</v>
      </c>
      <c r="D56" s="25" t="n">
        <v>0</v>
      </c>
      <c r="E56" s="25" t="n">
        <v>0</v>
      </c>
      <c r="F56" s="25" t="n">
        <v>0</v>
      </c>
      <c r="G56" s="25" t="n">
        <v>0</v>
      </c>
      <c r="H56" s="25" t="n">
        <v>0</v>
      </c>
      <c r="I56" s="25" t="n">
        <f aca="false">SUM(C56:H56)</f>
        <v>0</v>
      </c>
    </row>
    <row r="57" customFormat="false" ht="15" hidden="false" customHeight="false" outlineLevel="0" collapsed="false">
      <c r="A57" s="25"/>
      <c r="B57" s="24" t="s">
        <v>115</v>
      </c>
      <c r="C57" s="25" t="n">
        <v>1</v>
      </c>
      <c r="D57" s="25" t="n">
        <v>1</v>
      </c>
      <c r="E57" s="25" t="n">
        <v>4</v>
      </c>
      <c r="F57" s="25" t="n">
        <v>5</v>
      </c>
      <c r="G57" s="25" t="n">
        <v>2</v>
      </c>
      <c r="H57" s="25" t="n">
        <v>1</v>
      </c>
      <c r="I57" s="25" t="n">
        <f aca="false">SUM(C57:H57)</f>
        <v>14</v>
      </c>
    </row>
    <row r="58" customFormat="false" ht="15" hidden="false" customHeight="false" outlineLevel="0" collapsed="false">
      <c r="A58" s="25"/>
      <c r="B58" s="24" t="s">
        <v>116</v>
      </c>
      <c r="C58" s="25" t="n">
        <v>0</v>
      </c>
      <c r="D58" s="25" t="n">
        <v>0</v>
      </c>
      <c r="E58" s="25" t="n">
        <v>0</v>
      </c>
      <c r="F58" s="25" t="n">
        <v>0</v>
      </c>
      <c r="G58" s="25" t="n">
        <v>0</v>
      </c>
      <c r="H58" s="25" t="n">
        <v>1</v>
      </c>
      <c r="I58" s="25" t="n">
        <f aca="false">SUM(C58:H58)</f>
        <v>1</v>
      </c>
    </row>
    <row r="59" customFormat="false" ht="15.75" hidden="false" customHeight="false" outlineLevel="0" collapsed="false">
      <c r="A59" s="85"/>
      <c r="B59" s="142" t="s">
        <v>22</v>
      </c>
      <c r="C59" s="27" t="n">
        <f aca="false">SUM(C43:C58)</f>
        <v>7</v>
      </c>
      <c r="D59" s="27" t="n">
        <f aca="false">SUM(D43:D58)</f>
        <v>2</v>
      </c>
      <c r="E59" s="27" t="n">
        <f aca="false">SUM(E43:E58)</f>
        <v>13</v>
      </c>
      <c r="F59" s="27" t="n">
        <f aca="false">SUM(F43:F58)</f>
        <v>44</v>
      </c>
      <c r="G59" s="27" t="n">
        <f aca="false">SUM(G43:G58)</f>
        <v>11</v>
      </c>
      <c r="H59" s="27" t="n">
        <f aca="false">SUM(H43:H58)</f>
        <v>12</v>
      </c>
      <c r="I59" s="27" t="n">
        <f aca="false">SUM(I43:I58)</f>
        <v>89</v>
      </c>
    </row>
    <row r="60" customFormat="false" ht="15.75" hidden="false" customHeight="false" outlineLevel="0" collapsed="false">
      <c r="A60" s="49"/>
      <c r="B60" s="49" t="s">
        <v>74</v>
      </c>
      <c r="C60" s="143" t="n">
        <f aca="false">C8+C13+C15+C19+C23+C28+C32+C42+C59</f>
        <v>12</v>
      </c>
      <c r="D60" s="143" t="n">
        <f aca="false">D8+D13+D15+D19+D23+D28+D32+D42+D59</f>
        <v>13</v>
      </c>
      <c r="E60" s="143" t="n">
        <f aca="false">E8+E13+E15+E19+E23+E28+E32+E42+E59</f>
        <v>59</v>
      </c>
      <c r="F60" s="143" t="n">
        <f aca="false">F8+F13+F15+F19+F23+F28+F32+F42+F59</f>
        <v>157</v>
      </c>
      <c r="G60" s="143" t="n">
        <f aca="false">G8+G13+G15+G19+G23+G28+G32+G42+G59</f>
        <v>44</v>
      </c>
      <c r="H60" s="143" t="n">
        <f aca="false">H8+H13+H15+H19+H23+H28+H32+H42+H59</f>
        <v>37</v>
      </c>
      <c r="I60" s="143" t="n">
        <f aca="false">I8+I13+I15+I19+I23+I28+I32+I42+I59</f>
        <v>322</v>
      </c>
    </row>
    <row r="61" customFormat="false" ht="15" hidden="false" customHeight="false" outlineLevel="0" collapsed="false">
      <c r="A61" s="51"/>
      <c r="B61" s="51" t="s">
        <v>117</v>
      </c>
      <c r="C61" s="75" t="n">
        <f aca="false">C60/322</f>
        <v>0.0372670807453416</v>
      </c>
      <c r="D61" s="75" t="n">
        <f aca="false">D60/322</f>
        <v>0.0403726708074534</v>
      </c>
      <c r="E61" s="75" t="n">
        <f aca="false">E60/322</f>
        <v>0.183229813664596</v>
      </c>
      <c r="F61" s="75" t="n">
        <f aca="false">F60/322</f>
        <v>0.487577639751553</v>
      </c>
      <c r="G61" s="75" t="n">
        <f aca="false">G60/322</f>
        <v>0.136645962732919</v>
      </c>
      <c r="H61" s="75" t="n">
        <f aca="false">H60/322</f>
        <v>0.114906832298137</v>
      </c>
      <c r="I61" s="75" t="n">
        <v>1</v>
      </c>
    </row>
    <row r="62" customFormat="false" ht="15" hidden="false" customHeight="false" outlineLevel="0" collapsed="false">
      <c r="A62" s="34" t="s">
        <v>118</v>
      </c>
    </row>
    <row r="66" customFormat="false" ht="15" hidden="false" customHeight="false" outlineLevel="0" collapsed="false">
      <c r="B66" s="127" t="s">
        <v>244</v>
      </c>
      <c r="C66" s="127"/>
      <c r="D66" s="127"/>
      <c r="E66" s="127"/>
      <c r="F66" s="127"/>
      <c r="G66" s="127"/>
      <c r="H66" s="127"/>
      <c r="I66" s="127"/>
      <c r="J66" s="144"/>
    </row>
    <row r="67" customFormat="false" ht="25.5" hidden="false" customHeight="false" outlineLevel="0" collapsed="false">
      <c r="B67" s="23" t="s">
        <v>2</v>
      </c>
      <c r="C67" s="23" t="s">
        <v>238</v>
      </c>
      <c r="D67" s="23" t="s">
        <v>239</v>
      </c>
      <c r="E67" s="23" t="s">
        <v>240</v>
      </c>
      <c r="F67" s="23" t="s">
        <v>241</v>
      </c>
      <c r="G67" s="23" t="s">
        <v>242</v>
      </c>
      <c r="H67" s="23" t="s">
        <v>127</v>
      </c>
      <c r="I67" s="23" t="s">
        <v>80</v>
      </c>
    </row>
    <row r="68" customFormat="false" ht="15" hidden="false" customHeight="false" outlineLevel="0" collapsed="false">
      <c r="B68" s="25" t="s">
        <v>81</v>
      </c>
      <c r="C68" s="25" t="n">
        <v>1</v>
      </c>
      <c r="D68" s="25" t="n">
        <v>0</v>
      </c>
      <c r="E68" s="25" t="n">
        <v>0</v>
      </c>
      <c r="F68" s="25" t="n">
        <v>2</v>
      </c>
      <c r="G68" s="25" t="n">
        <v>0</v>
      </c>
      <c r="H68" s="25" t="n">
        <v>0</v>
      </c>
      <c r="I68" s="25" t="n">
        <f aca="false">SUM(C68:H68)</f>
        <v>3</v>
      </c>
    </row>
    <row r="69" customFormat="false" ht="15" hidden="false" customHeight="false" outlineLevel="0" collapsed="false">
      <c r="B69" s="25" t="s">
        <v>82</v>
      </c>
      <c r="C69" s="25" t="n">
        <v>0</v>
      </c>
      <c r="D69" s="25" t="n">
        <v>0</v>
      </c>
      <c r="E69" s="25" t="n">
        <v>0</v>
      </c>
      <c r="F69" s="25" t="n">
        <v>1</v>
      </c>
      <c r="G69" s="25" t="n">
        <v>1</v>
      </c>
      <c r="H69" s="25" t="n">
        <v>0</v>
      </c>
      <c r="I69" s="25" t="n">
        <f aca="false">SUM(C69:H69)</f>
        <v>2</v>
      </c>
    </row>
    <row r="70" customFormat="false" ht="15" hidden="false" customHeight="false" outlineLevel="0" collapsed="false">
      <c r="B70" s="25" t="s">
        <v>83</v>
      </c>
      <c r="C70" s="25" t="n">
        <v>0</v>
      </c>
      <c r="D70" s="25" t="n">
        <v>0</v>
      </c>
      <c r="E70" s="25" t="n">
        <v>0</v>
      </c>
      <c r="F70" s="25" t="n">
        <v>0</v>
      </c>
      <c r="G70" s="25" t="n">
        <v>0</v>
      </c>
      <c r="H70" s="25" t="n">
        <v>0</v>
      </c>
      <c r="I70" s="25" t="n">
        <f aca="false">SUM(C70:H70)</f>
        <v>0</v>
      </c>
    </row>
    <row r="71" customFormat="false" ht="15" hidden="false" customHeight="false" outlineLevel="0" collapsed="false">
      <c r="B71" s="25" t="s">
        <v>84</v>
      </c>
      <c r="C71" s="25" t="n">
        <v>0</v>
      </c>
      <c r="D71" s="25" t="n">
        <v>0</v>
      </c>
      <c r="E71" s="25" t="n">
        <v>0</v>
      </c>
      <c r="F71" s="25" t="n">
        <v>0</v>
      </c>
      <c r="G71" s="25" t="n">
        <v>0</v>
      </c>
      <c r="H71" s="25" t="n">
        <v>0</v>
      </c>
      <c r="I71" s="25" t="n">
        <f aca="false">SUM(C71:H71)</f>
        <v>0</v>
      </c>
    </row>
    <row r="72" customFormat="false" ht="18.75" hidden="false" customHeight="true" outlineLevel="0" collapsed="false">
      <c r="B72" s="25" t="s">
        <v>85</v>
      </c>
      <c r="C72" s="25" t="n">
        <v>0</v>
      </c>
      <c r="D72" s="25" t="n">
        <v>0</v>
      </c>
      <c r="E72" s="25" t="n">
        <v>0</v>
      </c>
      <c r="F72" s="25" t="n">
        <v>2</v>
      </c>
      <c r="G72" s="25" t="n">
        <v>1</v>
      </c>
      <c r="H72" s="25" t="n">
        <v>0</v>
      </c>
      <c r="I72" s="25" t="n">
        <f aca="false">SUM(C72:H72)</f>
        <v>3</v>
      </c>
    </row>
    <row r="73" customFormat="false" ht="15" hidden="false" customHeight="false" outlineLevel="0" collapsed="false">
      <c r="B73" s="25" t="s">
        <v>86</v>
      </c>
      <c r="C73" s="25" t="n">
        <v>0</v>
      </c>
      <c r="D73" s="25" t="n">
        <v>0</v>
      </c>
      <c r="E73" s="25" t="n">
        <v>0</v>
      </c>
      <c r="F73" s="25" t="n">
        <v>7</v>
      </c>
      <c r="G73" s="25" t="n">
        <v>4</v>
      </c>
      <c r="H73" s="25" t="n">
        <v>0</v>
      </c>
      <c r="I73" s="25" t="n">
        <f aca="false">SUM(C73:H73)</f>
        <v>11</v>
      </c>
    </row>
    <row r="74" customFormat="false" ht="16.5" hidden="false" customHeight="true" outlineLevel="0" collapsed="false">
      <c r="B74" s="25" t="s">
        <v>87</v>
      </c>
      <c r="C74" s="25" t="n">
        <v>0</v>
      </c>
      <c r="D74" s="25" t="n">
        <v>1</v>
      </c>
      <c r="E74" s="25" t="n">
        <v>6</v>
      </c>
      <c r="F74" s="25" t="n">
        <v>8</v>
      </c>
      <c r="G74" s="25" t="n">
        <v>2</v>
      </c>
      <c r="H74" s="25" t="n">
        <v>0</v>
      </c>
      <c r="I74" s="25" t="n">
        <f aca="false">SUM(C74:H74)</f>
        <v>17</v>
      </c>
    </row>
    <row r="75" customFormat="false" ht="15" hidden="false" customHeight="false" outlineLevel="0" collapsed="false">
      <c r="B75" s="25" t="s">
        <v>90</v>
      </c>
      <c r="C75" s="25" t="n">
        <v>0</v>
      </c>
      <c r="D75" s="25" t="n">
        <v>0</v>
      </c>
      <c r="E75" s="25" t="n">
        <v>3</v>
      </c>
      <c r="F75" s="25" t="n">
        <v>5</v>
      </c>
      <c r="G75" s="25" t="n">
        <v>2</v>
      </c>
      <c r="H75" s="25" t="n">
        <v>0</v>
      </c>
      <c r="I75" s="25" t="n">
        <f aca="false">SUM(C75:H75)</f>
        <v>10</v>
      </c>
    </row>
    <row r="76" customFormat="false" ht="15" hidden="false" customHeight="false" outlineLevel="0" collapsed="false">
      <c r="B76" s="25" t="s">
        <v>100</v>
      </c>
      <c r="C76" s="25" t="n">
        <v>0</v>
      </c>
      <c r="D76" s="25" t="n">
        <v>1</v>
      </c>
      <c r="E76" s="25" t="n">
        <v>0</v>
      </c>
      <c r="F76" s="25" t="n">
        <v>5</v>
      </c>
      <c r="G76" s="25" t="n">
        <v>1</v>
      </c>
      <c r="H76" s="25" t="n">
        <v>0</v>
      </c>
      <c r="I76" s="25" t="n">
        <f aca="false">SUM(C76:H76)</f>
        <v>7</v>
      </c>
    </row>
    <row r="77" customFormat="false" ht="15" hidden="false" customHeight="false" outlineLevel="0" collapsed="false">
      <c r="B77" s="49" t="s">
        <v>245</v>
      </c>
      <c r="C77" s="143" t="n">
        <f aca="false">SUM(C68:C76)</f>
        <v>1</v>
      </c>
      <c r="D77" s="143" t="n">
        <f aca="false">SUM(D68:D76)</f>
        <v>2</v>
      </c>
      <c r="E77" s="143" t="n">
        <f aca="false">SUM(E68:E76)</f>
        <v>9</v>
      </c>
      <c r="F77" s="143" t="n">
        <f aca="false">SUM(F68:F76)</f>
        <v>30</v>
      </c>
      <c r="G77" s="143" t="n">
        <f aca="false">SUM(G68:G76)</f>
        <v>11</v>
      </c>
      <c r="H77" s="143" t="n">
        <f aca="false">SUM(H68:H76)</f>
        <v>0</v>
      </c>
      <c r="I77" s="143" t="n">
        <f aca="false">SUM(I68:I76)</f>
        <v>53</v>
      </c>
    </row>
    <row r="78" customFormat="false" ht="15" hidden="false" customHeight="false" outlineLevel="0" collapsed="false">
      <c r="B78" s="51" t="s">
        <v>117</v>
      </c>
      <c r="C78" s="75" t="n">
        <f aca="false">C77/322</f>
        <v>0.0031055900621118</v>
      </c>
      <c r="D78" s="75" t="n">
        <f aca="false">D77/322</f>
        <v>0.0062111801242236</v>
      </c>
      <c r="E78" s="75" t="n">
        <f aca="false">E77/322</f>
        <v>0.0279503105590062</v>
      </c>
      <c r="F78" s="75" t="n">
        <f aca="false">F77/322</f>
        <v>0.093167701863354</v>
      </c>
      <c r="G78" s="75" t="n">
        <f aca="false">G77/322</f>
        <v>0.0341614906832298</v>
      </c>
      <c r="H78" s="75" t="n">
        <f aca="false">H77/322</f>
        <v>0</v>
      </c>
      <c r="I78" s="75" t="n">
        <v>1</v>
      </c>
    </row>
    <row r="79" customFormat="false" ht="15" hidden="false" customHeight="false" outlineLevel="0" collapsed="false">
      <c r="B79" s="34" t="s">
        <v>118</v>
      </c>
    </row>
    <row r="83" customFormat="false" ht="15" hidden="false" customHeight="false" outlineLevel="0" collapsed="false">
      <c r="B83" s="127" t="s">
        <v>246</v>
      </c>
      <c r="C83" s="127"/>
      <c r="D83" s="127"/>
      <c r="E83" s="127"/>
      <c r="F83" s="127"/>
      <c r="G83" s="127"/>
      <c r="H83" s="127"/>
      <c r="I83" s="127"/>
      <c r="J83" s="144"/>
    </row>
    <row r="84" customFormat="false" ht="25.5" hidden="false" customHeight="false" outlineLevel="0" collapsed="false">
      <c r="B84" s="23" t="s">
        <v>2</v>
      </c>
      <c r="C84" s="23" t="s">
        <v>238</v>
      </c>
      <c r="D84" s="23" t="s">
        <v>239</v>
      </c>
      <c r="E84" s="23" t="s">
        <v>240</v>
      </c>
      <c r="F84" s="23" t="s">
        <v>241</v>
      </c>
      <c r="G84" s="23" t="s">
        <v>242</v>
      </c>
      <c r="H84" s="23" t="s">
        <v>127</v>
      </c>
      <c r="I84" s="23" t="s">
        <v>80</v>
      </c>
    </row>
    <row r="85" customFormat="false" ht="15" hidden="false" customHeight="false" outlineLevel="0" collapsed="false">
      <c r="B85" s="25" t="s">
        <v>81</v>
      </c>
      <c r="C85" s="25" t="n">
        <v>0</v>
      </c>
      <c r="D85" s="25" t="n">
        <v>0</v>
      </c>
      <c r="E85" s="25" t="n">
        <v>1</v>
      </c>
      <c r="F85" s="25" t="n">
        <v>0</v>
      </c>
      <c r="G85" s="25" t="n">
        <v>1</v>
      </c>
      <c r="H85" s="25" t="n">
        <v>1</v>
      </c>
      <c r="I85" s="25" t="n">
        <f aca="false">SUM(C85:H85)</f>
        <v>3</v>
      </c>
    </row>
    <row r="86" customFormat="false" ht="15" hidden="false" customHeight="false" outlineLevel="0" collapsed="false">
      <c r="B86" s="25" t="s">
        <v>82</v>
      </c>
      <c r="C86" s="25" t="n">
        <v>0</v>
      </c>
      <c r="D86" s="25" t="n">
        <v>1</v>
      </c>
      <c r="E86" s="25" t="n">
        <v>1</v>
      </c>
      <c r="F86" s="25" t="n">
        <v>2</v>
      </c>
      <c r="G86" s="25" t="n">
        <v>0</v>
      </c>
      <c r="H86" s="25" t="n">
        <v>0</v>
      </c>
      <c r="I86" s="25" t="n">
        <f aca="false">SUM(C86:H86)</f>
        <v>4</v>
      </c>
    </row>
    <row r="87" customFormat="false" ht="15" hidden="false" customHeight="false" outlineLevel="0" collapsed="false">
      <c r="B87" s="25" t="s">
        <v>83</v>
      </c>
      <c r="C87" s="25" t="n">
        <v>0</v>
      </c>
      <c r="D87" s="25" t="n">
        <v>0</v>
      </c>
      <c r="E87" s="25" t="n">
        <v>0</v>
      </c>
      <c r="F87" s="25" t="n">
        <v>0</v>
      </c>
      <c r="G87" s="25" t="n">
        <v>0</v>
      </c>
      <c r="H87" s="25" t="n">
        <v>0</v>
      </c>
      <c r="I87" s="25" t="n">
        <f aca="false">SUM(C87:H87)</f>
        <v>0</v>
      </c>
    </row>
    <row r="88" customFormat="false" ht="15" hidden="false" customHeight="false" outlineLevel="0" collapsed="false">
      <c r="B88" s="25" t="s">
        <v>84</v>
      </c>
      <c r="C88" s="25" t="n">
        <v>0</v>
      </c>
      <c r="D88" s="25" t="n">
        <v>0</v>
      </c>
      <c r="E88" s="25" t="n">
        <v>0</v>
      </c>
      <c r="F88" s="25" t="n">
        <v>1</v>
      </c>
      <c r="G88" s="25" t="n">
        <v>0</v>
      </c>
      <c r="H88" s="25" t="n">
        <v>0</v>
      </c>
      <c r="I88" s="25" t="n">
        <f aca="false">SUM(C88:H88)</f>
        <v>1</v>
      </c>
    </row>
    <row r="89" customFormat="false" ht="15" hidden="false" customHeight="false" outlineLevel="0" collapsed="false">
      <c r="B89" s="25" t="s">
        <v>85</v>
      </c>
      <c r="C89" s="25" t="n">
        <v>1</v>
      </c>
      <c r="D89" s="25" t="n">
        <v>1</v>
      </c>
      <c r="E89" s="25" t="n">
        <v>1</v>
      </c>
      <c r="F89" s="25" t="n">
        <v>0</v>
      </c>
      <c r="G89" s="25" t="n">
        <v>0</v>
      </c>
      <c r="H89" s="25" t="n">
        <v>0</v>
      </c>
      <c r="I89" s="25" t="n">
        <f aca="false">SUM(C89:H89)</f>
        <v>3</v>
      </c>
    </row>
    <row r="90" customFormat="false" ht="15" hidden="false" customHeight="false" outlineLevel="0" collapsed="false">
      <c r="B90" s="25" t="s">
        <v>86</v>
      </c>
      <c r="C90" s="25" t="n">
        <v>1</v>
      </c>
      <c r="D90" s="25" t="n">
        <v>3</v>
      </c>
      <c r="E90" s="25" t="n">
        <v>1</v>
      </c>
      <c r="F90" s="25" t="n">
        <v>4</v>
      </c>
      <c r="G90" s="25" t="n">
        <v>0</v>
      </c>
      <c r="H90" s="25" t="n">
        <v>0</v>
      </c>
      <c r="I90" s="25" t="n">
        <f aca="false">SUM(C90:H90)</f>
        <v>9</v>
      </c>
    </row>
    <row r="91" customFormat="false" ht="15" hidden="false" customHeight="false" outlineLevel="0" collapsed="false">
      <c r="B91" s="25" t="s">
        <v>87</v>
      </c>
      <c r="C91" s="25" t="n">
        <v>3</v>
      </c>
      <c r="D91" s="25" t="n">
        <v>5</v>
      </c>
      <c r="E91" s="25" t="n">
        <v>23</v>
      </c>
      <c r="F91" s="25" t="n">
        <v>19</v>
      </c>
      <c r="G91" s="25" t="n">
        <v>1</v>
      </c>
      <c r="H91" s="25" t="n">
        <v>9</v>
      </c>
      <c r="I91" s="25" t="n">
        <f aca="false">SUM(C91:H91)</f>
        <v>60</v>
      </c>
    </row>
    <row r="92" customFormat="false" ht="15" hidden="false" customHeight="false" outlineLevel="0" collapsed="false">
      <c r="B92" s="25" t="s">
        <v>90</v>
      </c>
      <c r="C92" s="25" t="n">
        <v>1</v>
      </c>
      <c r="D92" s="25" t="n">
        <v>1</v>
      </c>
      <c r="E92" s="25" t="n">
        <v>23</v>
      </c>
      <c r="F92" s="25" t="n">
        <v>58</v>
      </c>
      <c r="G92" s="25" t="n">
        <v>9</v>
      </c>
      <c r="H92" s="25" t="n">
        <v>15</v>
      </c>
      <c r="I92" s="25" t="n">
        <f aca="false">SUM(C92:H92)</f>
        <v>107</v>
      </c>
    </row>
    <row r="93" customFormat="false" ht="15" hidden="false" customHeight="false" outlineLevel="0" collapsed="false">
      <c r="B93" s="25" t="s">
        <v>100</v>
      </c>
      <c r="C93" s="25" t="n">
        <v>3</v>
      </c>
      <c r="D93" s="25" t="n">
        <v>3</v>
      </c>
      <c r="E93" s="25" t="n">
        <v>17</v>
      </c>
      <c r="F93" s="25" t="n">
        <v>36</v>
      </c>
      <c r="G93" s="25" t="n">
        <v>7</v>
      </c>
      <c r="H93" s="25" t="n">
        <v>16</v>
      </c>
      <c r="I93" s="25" t="n">
        <f aca="false">SUM(C93:H93)</f>
        <v>82</v>
      </c>
    </row>
    <row r="94" customFormat="false" ht="15" hidden="false" customHeight="false" outlineLevel="0" collapsed="false">
      <c r="B94" s="49" t="s">
        <v>245</v>
      </c>
      <c r="C94" s="143" t="n">
        <f aca="false">SUM(C85:C93)</f>
        <v>9</v>
      </c>
      <c r="D94" s="143" t="n">
        <f aca="false">SUM(D85:D93)</f>
        <v>14</v>
      </c>
      <c r="E94" s="143" t="n">
        <f aca="false">SUM(E85:E93)</f>
        <v>67</v>
      </c>
      <c r="F94" s="143" t="n">
        <f aca="false">SUM(F85:F93)</f>
        <v>120</v>
      </c>
      <c r="G94" s="143" t="n">
        <f aca="false">SUM(G85:G93)</f>
        <v>18</v>
      </c>
      <c r="H94" s="143" t="n">
        <f aca="false">SUM(H85:H93)</f>
        <v>41</v>
      </c>
      <c r="I94" s="143" t="n">
        <f aca="false">SUM(I85:I93)</f>
        <v>269</v>
      </c>
    </row>
    <row r="95" customFormat="false" ht="15" hidden="false" customHeight="false" outlineLevel="0" collapsed="false">
      <c r="B95" s="51" t="s">
        <v>117</v>
      </c>
      <c r="C95" s="75" t="n">
        <f aca="false">C94/322</f>
        <v>0.0279503105590062</v>
      </c>
      <c r="D95" s="75" t="n">
        <f aca="false">D94/322</f>
        <v>0.0434782608695652</v>
      </c>
      <c r="E95" s="75" t="n">
        <f aca="false">E94/322</f>
        <v>0.208074534161491</v>
      </c>
      <c r="F95" s="75" t="n">
        <f aca="false">F94/322</f>
        <v>0.372670807453416</v>
      </c>
      <c r="G95" s="75" t="n">
        <f aca="false">G94/322</f>
        <v>0.0559006211180124</v>
      </c>
      <c r="H95" s="75" t="n">
        <f aca="false">H94/322</f>
        <v>0.127329192546584</v>
      </c>
      <c r="I95" s="75" t="n">
        <v>1</v>
      </c>
    </row>
    <row r="96" customFormat="false" ht="15" hidden="false" customHeight="false" outlineLevel="0" collapsed="false">
      <c r="B96" s="34" t="s">
        <v>118</v>
      </c>
    </row>
  </sheetData>
  <mergeCells count="4">
    <mergeCell ref="A1:I1"/>
    <mergeCell ref="C2:H2"/>
    <mergeCell ref="B66:I66"/>
    <mergeCell ref="B83:I8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24"/>
    <col collapsed="false" customWidth="true" hidden="false" outlineLevel="0" max="1025" min="3" style="0" width="8.67"/>
  </cols>
  <sheetData>
    <row r="1" customFormat="false" ht="15" hidden="false" customHeight="false" outlineLevel="0" collapsed="false">
      <c r="A1" s="35" t="s">
        <v>247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customFormat="false" ht="15" hidden="false" customHeight="false" outlineLevel="0" collapsed="false">
      <c r="A2" s="36"/>
      <c r="B2" s="36" t="s">
        <v>1</v>
      </c>
      <c r="C2" s="37" t="s">
        <v>248</v>
      </c>
      <c r="D2" s="37"/>
      <c r="E2" s="37"/>
      <c r="F2" s="37"/>
      <c r="G2" s="37"/>
      <c r="H2" s="37"/>
      <c r="I2" s="37"/>
      <c r="J2" s="37"/>
      <c r="K2" s="37"/>
      <c r="L2" s="37"/>
      <c r="M2" s="36"/>
    </row>
    <row r="3" customFormat="false" ht="15" hidden="false" customHeight="true" outlineLevel="0" collapsed="false">
      <c r="A3" s="146"/>
      <c r="B3" s="147"/>
      <c r="C3" s="39" t="s">
        <v>249</v>
      </c>
      <c r="D3" s="39"/>
      <c r="E3" s="39" t="s">
        <v>250</v>
      </c>
      <c r="F3" s="39"/>
      <c r="G3" s="39" t="s">
        <v>251</v>
      </c>
      <c r="H3" s="39"/>
      <c r="I3" s="39" t="s">
        <v>252</v>
      </c>
      <c r="J3" s="39"/>
      <c r="K3" s="39" t="s">
        <v>253</v>
      </c>
      <c r="L3" s="39"/>
      <c r="M3" s="146"/>
    </row>
    <row r="4" customFormat="false" ht="25.5" hidden="false" customHeight="false" outlineLevel="0" collapsed="false">
      <c r="A4" s="148" t="s">
        <v>2</v>
      </c>
      <c r="B4" s="149" t="s">
        <v>121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148" t="s">
        <v>80</v>
      </c>
    </row>
    <row r="5" customFormat="false" ht="15" hidden="false" customHeight="false" outlineLevel="0" collapsed="false">
      <c r="A5" s="150"/>
      <c r="B5" s="151"/>
      <c r="C5" s="104" t="s">
        <v>254</v>
      </c>
      <c r="D5" s="104" t="s">
        <v>255</v>
      </c>
      <c r="E5" s="104" t="s">
        <v>254</v>
      </c>
      <c r="F5" s="104" t="s">
        <v>255</v>
      </c>
      <c r="G5" s="104" t="s">
        <v>254</v>
      </c>
      <c r="H5" s="104" t="s">
        <v>255</v>
      </c>
      <c r="I5" s="104" t="s">
        <v>254</v>
      </c>
      <c r="J5" s="152" t="s">
        <v>255</v>
      </c>
      <c r="K5" s="104" t="s">
        <v>254</v>
      </c>
      <c r="L5" s="152" t="s">
        <v>255</v>
      </c>
      <c r="M5" s="153"/>
    </row>
    <row r="6" customFormat="false" ht="15" hidden="false" customHeight="false" outlineLevel="0" collapsed="false">
      <c r="A6" s="24" t="s">
        <v>81</v>
      </c>
      <c r="B6" s="25" t="s">
        <v>18</v>
      </c>
      <c r="C6" s="25" t="n">
        <v>0</v>
      </c>
      <c r="D6" s="33" t="n">
        <v>0</v>
      </c>
      <c r="E6" s="25" t="n">
        <v>0</v>
      </c>
      <c r="F6" s="33" t="n">
        <v>0</v>
      </c>
      <c r="G6" s="25" t="n">
        <v>0</v>
      </c>
      <c r="H6" s="33" t="n">
        <v>0</v>
      </c>
      <c r="I6" s="25" t="n">
        <v>0</v>
      </c>
      <c r="J6" s="33" t="n">
        <v>0</v>
      </c>
      <c r="K6" s="25" t="n">
        <v>0</v>
      </c>
      <c r="L6" s="33" t="n">
        <v>0</v>
      </c>
      <c r="M6" s="82" t="n">
        <v>0</v>
      </c>
    </row>
    <row r="7" customFormat="false" ht="15" hidden="false" customHeight="false" outlineLevel="0" collapsed="false">
      <c r="A7" s="26"/>
      <c r="B7" s="25" t="s">
        <v>19</v>
      </c>
      <c r="C7" s="25" t="n">
        <v>1</v>
      </c>
      <c r="D7" s="33" t="n">
        <v>1</v>
      </c>
      <c r="E7" s="25" t="n">
        <v>0</v>
      </c>
      <c r="F7" s="33" t="n">
        <v>0</v>
      </c>
      <c r="G7" s="25" t="n">
        <v>1</v>
      </c>
      <c r="H7" s="33" t="n">
        <v>1</v>
      </c>
      <c r="I7" s="25" t="n">
        <v>1</v>
      </c>
      <c r="J7" s="33" t="n">
        <v>1</v>
      </c>
      <c r="K7" s="25" t="n">
        <v>0</v>
      </c>
      <c r="L7" s="33" t="n">
        <v>0</v>
      </c>
      <c r="M7" s="82" t="n">
        <v>3</v>
      </c>
    </row>
    <row r="8" customFormat="false" ht="15" hidden="false" customHeight="false" outlineLevel="0" collapsed="false">
      <c r="A8" s="26"/>
      <c r="B8" s="25" t="s">
        <v>20</v>
      </c>
      <c r="C8" s="25" t="n">
        <v>0</v>
      </c>
      <c r="D8" s="33" t="n">
        <v>0</v>
      </c>
      <c r="E8" s="25" t="n">
        <v>0</v>
      </c>
      <c r="F8" s="33" t="n">
        <v>0</v>
      </c>
      <c r="G8" s="25" t="n">
        <v>0</v>
      </c>
      <c r="H8" s="33" t="n">
        <v>0</v>
      </c>
      <c r="I8" s="25" t="n">
        <v>0</v>
      </c>
      <c r="J8" s="33" t="n">
        <v>0</v>
      </c>
      <c r="K8" s="25" t="n">
        <v>0</v>
      </c>
      <c r="L8" s="33" t="n">
        <v>0</v>
      </c>
      <c r="M8" s="82" t="n">
        <v>0</v>
      </c>
    </row>
    <row r="9" customFormat="false" ht="15" hidden="false" customHeight="false" outlineLevel="0" collapsed="false">
      <c r="A9" s="26"/>
      <c r="B9" s="25" t="s">
        <v>21</v>
      </c>
      <c r="C9" s="25" t="n">
        <v>0</v>
      </c>
      <c r="D9" s="33" t="n">
        <v>0</v>
      </c>
      <c r="E9" s="25" t="n">
        <v>0</v>
      </c>
      <c r="F9" s="33" t="n">
        <v>0</v>
      </c>
      <c r="G9" s="25" t="n">
        <v>0</v>
      </c>
      <c r="H9" s="33" t="n">
        <v>0</v>
      </c>
      <c r="I9" s="25" t="n">
        <v>0</v>
      </c>
      <c r="J9" s="33" t="n">
        <v>0</v>
      </c>
      <c r="K9" s="25" t="n">
        <v>1</v>
      </c>
      <c r="L9" s="33" t="n">
        <v>1</v>
      </c>
      <c r="M9" s="82" t="n">
        <v>1</v>
      </c>
    </row>
    <row r="10" customFormat="false" ht="15" hidden="false" customHeight="false" outlineLevel="0" collapsed="false">
      <c r="A10" s="27"/>
      <c r="B10" s="28" t="s">
        <v>22</v>
      </c>
      <c r="C10" s="27" t="n">
        <f aca="false">SUM(C6:C9)</f>
        <v>1</v>
      </c>
      <c r="D10" s="154" t="n">
        <v>0.25</v>
      </c>
      <c r="E10" s="27" t="n">
        <f aca="false">SUM(E6:E9)</f>
        <v>0</v>
      </c>
      <c r="F10" s="154" t="n">
        <v>0</v>
      </c>
      <c r="G10" s="27" t="n">
        <f aca="false">SUM(G6:G9)</f>
        <v>1</v>
      </c>
      <c r="H10" s="154" t="n">
        <v>0.25</v>
      </c>
      <c r="I10" s="27" t="n">
        <f aca="false">SUM(I6:I9)</f>
        <v>1</v>
      </c>
      <c r="J10" s="154" t="n">
        <v>0.25</v>
      </c>
      <c r="K10" s="27" t="n">
        <f aca="false">SUM(K6:K9)</f>
        <v>1</v>
      </c>
      <c r="L10" s="154" t="n">
        <v>0.25</v>
      </c>
      <c r="M10" s="27" t="n">
        <f aca="false">SUM(M6:M9)</f>
        <v>4</v>
      </c>
    </row>
    <row r="11" customFormat="false" ht="15" hidden="false" customHeight="false" outlineLevel="0" collapsed="false">
      <c r="A11" s="24" t="s">
        <v>82</v>
      </c>
      <c r="B11" s="25" t="s">
        <v>24</v>
      </c>
      <c r="C11" s="25" t="n">
        <v>0</v>
      </c>
      <c r="D11" s="33" t="n">
        <v>0</v>
      </c>
      <c r="E11" s="25" t="n">
        <v>0</v>
      </c>
      <c r="F11" s="33" t="n">
        <v>0</v>
      </c>
      <c r="G11" s="25" t="n">
        <v>0</v>
      </c>
      <c r="H11" s="33" t="n">
        <v>0</v>
      </c>
      <c r="I11" s="25" t="n">
        <v>0</v>
      </c>
      <c r="J11" s="33" t="n">
        <v>0</v>
      </c>
      <c r="K11" s="25" t="n">
        <v>0</v>
      </c>
      <c r="L11" s="33" t="n">
        <v>0</v>
      </c>
      <c r="M11" s="82" t="n">
        <v>0</v>
      </c>
    </row>
    <row r="12" customFormat="false" ht="15" hidden="false" customHeight="false" outlineLevel="0" collapsed="false">
      <c r="A12" s="29"/>
      <c r="B12" s="25" t="s">
        <v>25</v>
      </c>
      <c r="C12" s="25" t="n">
        <v>0</v>
      </c>
      <c r="D12" s="33" t="n">
        <v>0</v>
      </c>
      <c r="E12" s="25" t="n">
        <v>0</v>
      </c>
      <c r="F12" s="33" t="n">
        <v>0</v>
      </c>
      <c r="G12" s="25" t="n">
        <v>3</v>
      </c>
      <c r="H12" s="33" t="n">
        <v>3</v>
      </c>
      <c r="I12" s="25" t="n">
        <v>0</v>
      </c>
      <c r="J12" s="33" t="n">
        <v>0</v>
      </c>
      <c r="K12" s="25" t="n">
        <v>0</v>
      </c>
      <c r="L12" s="33" t="n">
        <v>0</v>
      </c>
      <c r="M12" s="82" t="n">
        <v>3</v>
      </c>
    </row>
    <row r="13" customFormat="false" ht="15" hidden="false" customHeight="false" outlineLevel="0" collapsed="false">
      <c r="A13" s="29"/>
      <c r="B13" s="25" t="s">
        <v>26</v>
      </c>
      <c r="C13" s="25" t="n">
        <v>1</v>
      </c>
      <c r="D13" s="33" t="n">
        <v>1</v>
      </c>
      <c r="E13" s="25" t="n">
        <v>0</v>
      </c>
      <c r="F13" s="33" t="n">
        <v>0</v>
      </c>
      <c r="G13" s="25" t="n">
        <v>0</v>
      </c>
      <c r="H13" s="33" t="n">
        <v>0</v>
      </c>
      <c r="I13" s="25" t="n">
        <v>0</v>
      </c>
      <c r="J13" s="33" t="n">
        <v>0</v>
      </c>
      <c r="K13" s="25" t="n">
        <v>0</v>
      </c>
      <c r="L13" s="33" t="n">
        <v>0</v>
      </c>
      <c r="M13" s="82" t="n">
        <v>1</v>
      </c>
    </row>
    <row r="14" customFormat="false" ht="15" hidden="false" customHeight="false" outlineLevel="0" collapsed="false">
      <c r="A14" s="29"/>
      <c r="B14" s="25" t="s">
        <v>27</v>
      </c>
      <c r="C14" s="25" t="n">
        <v>0</v>
      </c>
      <c r="D14" s="33" t="n">
        <v>0</v>
      </c>
      <c r="E14" s="25" t="n">
        <v>1</v>
      </c>
      <c r="F14" s="33" t="n">
        <v>1</v>
      </c>
      <c r="G14" s="25" t="n">
        <v>0</v>
      </c>
      <c r="H14" s="33" t="n">
        <v>0</v>
      </c>
      <c r="I14" s="25" t="n">
        <v>0</v>
      </c>
      <c r="J14" s="33" t="n">
        <v>0</v>
      </c>
      <c r="K14" s="25" t="n">
        <v>0</v>
      </c>
      <c r="L14" s="33" t="n">
        <v>0</v>
      </c>
      <c r="M14" s="82" t="n">
        <v>1</v>
      </c>
    </row>
    <row r="15" customFormat="false" ht="15" hidden="false" customHeight="false" outlineLevel="0" collapsed="false">
      <c r="A15" s="27"/>
      <c r="B15" s="28" t="s">
        <v>22</v>
      </c>
      <c r="C15" s="155" t="n">
        <f aca="false">SUM(C11:C14)</f>
        <v>1</v>
      </c>
      <c r="D15" s="156" t="n">
        <v>0.2</v>
      </c>
      <c r="E15" s="155" t="n">
        <f aca="false">SUM(E11:E14)</f>
        <v>1</v>
      </c>
      <c r="F15" s="156" t="n">
        <v>0.2</v>
      </c>
      <c r="G15" s="155" t="n">
        <f aca="false">SUM(G11:G14)</f>
        <v>3</v>
      </c>
      <c r="H15" s="156" t="n">
        <v>0.6</v>
      </c>
      <c r="I15" s="155" t="n">
        <f aca="false">SUM(I11:I14)</f>
        <v>0</v>
      </c>
      <c r="J15" s="156" t="n">
        <v>0</v>
      </c>
      <c r="K15" s="155" t="n">
        <f aca="false">SUM(K11:K14)</f>
        <v>0</v>
      </c>
      <c r="L15" s="156" t="n">
        <v>0</v>
      </c>
      <c r="M15" s="27" t="n">
        <f aca="false">SUM(M11:M14)</f>
        <v>5</v>
      </c>
    </row>
    <row r="16" customFormat="false" ht="15" hidden="false" customHeight="false" outlineLevel="0" collapsed="false">
      <c r="A16" s="24" t="s">
        <v>83</v>
      </c>
      <c r="B16" s="25" t="s">
        <v>29</v>
      </c>
      <c r="C16" s="157" t="n">
        <v>0</v>
      </c>
      <c r="D16" s="158" t="n">
        <v>0</v>
      </c>
      <c r="E16" s="159" t="n">
        <v>0</v>
      </c>
      <c r="F16" s="158" t="n">
        <v>0</v>
      </c>
      <c r="G16" s="159" t="n">
        <v>0</v>
      </c>
      <c r="H16" s="158" t="n">
        <v>0</v>
      </c>
      <c r="I16" s="159" t="n">
        <v>0</v>
      </c>
      <c r="J16" s="158" t="n">
        <v>0</v>
      </c>
      <c r="K16" s="159" t="n">
        <v>0</v>
      </c>
      <c r="L16" s="160" t="n">
        <v>0</v>
      </c>
      <c r="M16" s="82" t="n">
        <v>0</v>
      </c>
    </row>
    <row r="17" customFormat="false" ht="15" hidden="false" customHeight="false" outlineLevel="0" collapsed="false">
      <c r="A17" s="27"/>
      <c r="B17" s="28" t="s">
        <v>22</v>
      </c>
      <c r="C17" s="83" t="n">
        <f aca="false">SUM(C16)</f>
        <v>0</v>
      </c>
      <c r="D17" s="161" t="n">
        <v>0</v>
      </c>
      <c r="E17" s="83" t="n">
        <f aca="false">SUM(E16)</f>
        <v>0</v>
      </c>
      <c r="F17" s="161" t="n">
        <v>0</v>
      </c>
      <c r="G17" s="83" t="n">
        <f aca="false">SUM(G16)</f>
        <v>0</v>
      </c>
      <c r="H17" s="161" t="n">
        <v>0</v>
      </c>
      <c r="I17" s="83" t="n">
        <f aca="false">SUM(I16)</f>
        <v>0</v>
      </c>
      <c r="J17" s="161" t="n">
        <v>0</v>
      </c>
      <c r="K17" s="83" t="n">
        <f aca="false">SUM(K16)</f>
        <v>0</v>
      </c>
      <c r="L17" s="161" t="n">
        <v>0</v>
      </c>
      <c r="M17" s="83" t="n">
        <f aca="false">SUM(M16)</f>
        <v>0</v>
      </c>
    </row>
    <row r="18" customFormat="false" ht="15" hidden="false" customHeight="false" outlineLevel="0" collapsed="false">
      <c r="A18" s="24" t="s">
        <v>84</v>
      </c>
      <c r="B18" s="25" t="s">
        <v>31</v>
      </c>
      <c r="C18" s="25" t="n">
        <v>0</v>
      </c>
      <c r="D18" s="33" t="n">
        <v>0</v>
      </c>
      <c r="E18" s="25" t="n">
        <v>0</v>
      </c>
      <c r="F18" s="33" t="n">
        <v>0</v>
      </c>
      <c r="G18" s="25" t="n">
        <v>0</v>
      </c>
      <c r="H18" s="33" t="n">
        <v>0</v>
      </c>
      <c r="I18" s="25" t="n">
        <v>0</v>
      </c>
      <c r="J18" s="33" t="n">
        <v>0</v>
      </c>
      <c r="K18" s="25" t="n">
        <v>0</v>
      </c>
      <c r="L18" s="33" t="n">
        <v>0</v>
      </c>
      <c r="M18" s="25" t="n">
        <v>0</v>
      </c>
    </row>
    <row r="19" customFormat="false" ht="15" hidden="false" customHeight="false" outlineLevel="0" collapsed="false">
      <c r="A19" s="25"/>
      <c r="B19" s="25" t="s">
        <v>32</v>
      </c>
      <c r="C19" s="25" t="n">
        <v>1</v>
      </c>
      <c r="D19" s="33" t="n">
        <v>1</v>
      </c>
      <c r="E19" s="25" t="n">
        <v>0</v>
      </c>
      <c r="F19" s="33" t="n">
        <v>0</v>
      </c>
      <c r="G19" s="25" t="n">
        <v>0</v>
      </c>
      <c r="H19" s="33" t="n">
        <v>0</v>
      </c>
      <c r="I19" s="25" t="n">
        <v>0</v>
      </c>
      <c r="J19" s="33" t="n">
        <v>0</v>
      </c>
      <c r="K19" s="25" t="n">
        <v>0</v>
      </c>
      <c r="L19" s="33" t="n">
        <v>0</v>
      </c>
      <c r="M19" s="25" t="n">
        <v>1</v>
      </c>
    </row>
    <row r="20" customFormat="false" ht="15" hidden="false" customHeight="false" outlineLevel="0" collapsed="false">
      <c r="A20" s="25"/>
      <c r="B20" s="25" t="s">
        <v>33</v>
      </c>
      <c r="C20" s="25" t="n">
        <v>0</v>
      </c>
      <c r="D20" s="33" t="n">
        <v>0</v>
      </c>
      <c r="E20" s="25" t="n">
        <v>0</v>
      </c>
      <c r="F20" s="33" t="n">
        <v>0</v>
      </c>
      <c r="G20" s="25" t="n">
        <v>0</v>
      </c>
      <c r="H20" s="33" t="n">
        <v>0</v>
      </c>
      <c r="I20" s="25" t="n">
        <v>0</v>
      </c>
      <c r="J20" s="33" t="n">
        <v>0</v>
      </c>
      <c r="K20" s="25" t="n">
        <v>0</v>
      </c>
      <c r="L20" s="33" t="n">
        <v>0</v>
      </c>
      <c r="M20" s="25" t="n">
        <v>0</v>
      </c>
    </row>
    <row r="21" customFormat="false" ht="15" hidden="false" customHeight="false" outlineLevel="0" collapsed="false">
      <c r="A21" s="27"/>
      <c r="B21" s="28" t="s">
        <v>22</v>
      </c>
      <c r="C21" s="27" t="n">
        <f aca="false">SUM(C18:C20)</f>
        <v>1</v>
      </c>
      <c r="D21" s="154" t="n">
        <v>1</v>
      </c>
      <c r="E21" s="27" t="n">
        <f aca="false">SUM(E18:E20)</f>
        <v>0</v>
      </c>
      <c r="F21" s="154" t="n">
        <v>0</v>
      </c>
      <c r="G21" s="27" t="n">
        <f aca="false">SUM(G18:G20)</f>
        <v>0</v>
      </c>
      <c r="H21" s="154" t="n">
        <v>0</v>
      </c>
      <c r="I21" s="27" t="n">
        <f aca="false">SUM(I18:I20)</f>
        <v>0</v>
      </c>
      <c r="J21" s="154" t="n">
        <v>0</v>
      </c>
      <c r="K21" s="27" t="n">
        <f aca="false">SUM(K18:K20)</f>
        <v>0</v>
      </c>
      <c r="L21" s="154" t="n">
        <v>0</v>
      </c>
      <c r="M21" s="27" t="n">
        <f aca="false">SUM(M18:M20)</f>
        <v>1</v>
      </c>
    </row>
    <row r="22" customFormat="false" ht="15" hidden="false" customHeight="false" outlineLevel="0" collapsed="false">
      <c r="A22" s="24" t="s">
        <v>85</v>
      </c>
      <c r="B22" s="25" t="s">
        <v>35</v>
      </c>
      <c r="C22" s="25" t="n">
        <v>1</v>
      </c>
      <c r="D22" s="33" t="n">
        <v>1</v>
      </c>
      <c r="E22" s="25" t="n">
        <v>0</v>
      </c>
      <c r="F22" s="33" t="n">
        <v>0</v>
      </c>
      <c r="G22" s="25" t="n">
        <v>0</v>
      </c>
      <c r="H22" s="33" t="n">
        <v>0</v>
      </c>
      <c r="I22" s="25" t="n">
        <v>0</v>
      </c>
      <c r="J22" s="33" t="n">
        <v>0</v>
      </c>
      <c r="K22" s="25" t="n">
        <v>0</v>
      </c>
      <c r="L22" s="33" t="n">
        <v>0</v>
      </c>
      <c r="M22" s="25" t="n">
        <v>1</v>
      </c>
    </row>
    <row r="23" customFormat="false" ht="15" hidden="false" customHeight="false" outlineLevel="0" collapsed="false">
      <c r="A23" s="25"/>
      <c r="B23" s="25" t="s">
        <v>36</v>
      </c>
      <c r="C23" s="25" t="n">
        <v>0</v>
      </c>
      <c r="D23" s="33" t="n">
        <v>0</v>
      </c>
      <c r="E23" s="25" t="n">
        <v>0</v>
      </c>
      <c r="F23" s="33" t="n">
        <v>0</v>
      </c>
      <c r="G23" s="25" t="n">
        <v>0</v>
      </c>
      <c r="H23" s="33" t="n">
        <v>0</v>
      </c>
      <c r="I23" s="25" t="n">
        <v>1</v>
      </c>
      <c r="J23" s="33" t="n">
        <v>1</v>
      </c>
      <c r="K23" s="25" t="n">
        <v>0</v>
      </c>
      <c r="L23" s="33" t="n">
        <v>0</v>
      </c>
      <c r="M23" s="25" t="n">
        <v>1</v>
      </c>
    </row>
    <row r="24" customFormat="false" ht="15" hidden="false" customHeight="false" outlineLevel="0" collapsed="false">
      <c r="A24" s="25"/>
      <c r="B24" s="25" t="s">
        <v>37</v>
      </c>
      <c r="C24" s="25" t="n">
        <v>0</v>
      </c>
      <c r="D24" s="33" t="n">
        <v>0</v>
      </c>
      <c r="E24" s="25" t="n">
        <v>0</v>
      </c>
      <c r="F24" s="33" t="n">
        <v>0</v>
      </c>
      <c r="G24" s="25" t="n">
        <v>0</v>
      </c>
      <c r="H24" s="33" t="n">
        <v>0</v>
      </c>
      <c r="I24" s="25" t="n">
        <v>0</v>
      </c>
      <c r="J24" s="33" t="n">
        <v>0</v>
      </c>
      <c r="K24" s="25" t="n">
        <v>0</v>
      </c>
      <c r="L24" s="33" t="n">
        <v>0</v>
      </c>
      <c r="M24" s="25" t="n">
        <v>0</v>
      </c>
    </row>
    <row r="25" customFormat="false" ht="15" hidden="false" customHeight="false" outlineLevel="0" collapsed="false">
      <c r="A25" s="27"/>
      <c r="B25" s="28" t="s">
        <v>22</v>
      </c>
      <c r="C25" s="27" t="n">
        <f aca="false">SUM(C22:C24)</f>
        <v>1</v>
      </c>
      <c r="D25" s="154" t="n">
        <v>0.5</v>
      </c>
      <c r="E25" s="27" t="n">
        <f aca="false">SUM(E22:E24)</f>
        <v>0</v>
      </c>
      <c r="F25" s="154" t="n">
        <v>0</v>
      </c>
      <c r="G25" s="27" t="n">
        <f aca="false">SUM(G22:G24)</f>
        <v>0</v>
      </c>
      <c r="H25" s="154" t="n">
        <v>0</v>
      </c>
      <c r="I25" s="27" t="n">
        <f aca="false">SUM(I22:I24)</f>
        <v>1</v>
      </c>
      <c r="J25" s="154" t="n">
        <v>0.5</v>
      </c>
      <c r="K25" s="27" t="n">
        <f aca="false">SUM(K22:K24)</f>
        <v>0</v>
      </c>
      <c r="L25" s="154" t="n">
        <v>0</v>
      </c>
      <c r="M25" s="27" t="n">
        <f aca="false">SUM(M22:M24)</f>
        <v>2</v>
      </c>
    </row>
    <row r="26" customFormat="false" ht="15" hidden="false" customHeight="false" outlineLevel="0" collapsed="false">
      <c r="A26" s="24" t="s">
        <v>86</v>
      </c>
      <c r="B26" s="25" t="s">
        <v>39</v>
      </c>
      <c r="C26" s="25" t="n">
        <v>0</v>
      </c>
      <c r="D26" s="33" t="n">
        <v>0</v>
      </c>
      <c r="E26" s="25" t="n">
        <v>0</v>
      </c>
      <c r="F26" s="33" t="n">
        <v>0</v>
      </c>
      <c r="G26" s="25" t="n">
        <v>0</v>
      </c>
      <c r="H26" s="33" t="n">
        <v>0</v>
      </c>
      <c r="I26" s="25" t="n">
        <v>0</v>
      </c>
      <c r="J26" s="33" t="n">
        <v>0</v>
      </c>
      <c r="K26" s="25" t="n">
        <v>0</v>
      </c>
      <c r="L26" s="33" t="n">
        <v>0</v>
      </c>
      <c r="M26" s="25" t="n">
        <v>0</v>
      </c>
    </row>
    <row r="27" customFormat="false" ht="15" hidden="false" customHeight="false" outlineLevel="0" collapsed="false">
      <c r="A27" s="25"/>
      <c r="B27" s="25" t="s">
        <v>40</v>
      </c>
      <c r="C27" s="25" t="n">
        <v>1</v>
      </c>
      <c r="D27" s="33" t="n">
        <v>0.25</v>
      </c>
      <c r="E27" s="25" t="n">
        <v>0</v>
      </c>
      <c r="F27" s="33" t="n">
        <v>0</v>
      </c>
      <c r="G27" s="25" t="n">
        <v>0</v>
      </c>
      <c r="H27" s="33" t="n">
        <v>0</v>
      </c>
      <c r="I27" s="25" t="n">
        <v>1</v>
      </c>
      <c r="J27" s="33" t="n">
        <v>0.25</v>
      </c>
      <c r="K27" s="25" t="n">
        <v>0</v>
      </c>
      <c r="L27" s="33" t="n">
        <v>0</v>
      </c>
      <c r="M27" s="25" t="n">
        <v>2</v>
      </c>
    </row>
    <row r="28" customFormat="false" ht="15" hidden="false" customHeight="false" outlineLevel="0" collapsed="false">
      <c r="A28" s="25"/>
      <c r="B28" s="25" t="s">
        <v>41</v>
      </c>
      <c r="C28" s="25" t="n">
        <v>2</v>
      </c>
      <c r="D28" s="33" t="n">
        <v>0.5</v>
      </c>
      <c r="E28" s="25" t="n">
        <v>3</v>
      </c>
      <c r="F28" s="33" t="n">
        <v>0.75</v>
      </c>
      <c r="G28" s="25" t="n">
        <v>2</v>
      </c>
      <c r="H28" s="33" t="n">
        <v>0.5</v>
      </c>
      <c r="I28" s="25" t="n">
        <v>1</v>
      </c>
      <c r="J28" s="33" t="n">
        <v>0.25</v>
      </c>
      <c r="K28" s="25" t="n">
        <v>0</v>
      </c>
      <c r="L28" s="33" t="n">
        <v>0</v>
      </c>
      <c r="M28" s="25" t="n">
        <v>8</v>
      </c>
    </row>
    <row r="29" customFormat="false" ht="15" hidden="false" customHeight="false" outlineLevel="0" collapsed="false">
      <c r="A29" s="25"/>
      <c r="B29" s="25" t="s">
        <v>42</v>
      </c>
      <c r="C29" s="25" t="n">
        <v>1</v>
      </c>
      <c r="D29" s="33" t="n">
        <v>0.25</v>
      </c>
      <c r="E29" s="25" t="n">
        <v>0</v>
      </c>
      <c r="F29" s="33" t="n">
        <v>0</v>
      </c>
      <c r="G29" s="25" t="n">
        <v>0</v>
      </c>
      <c r="H29" s="33" t="n">
        <v>0</v>
      </c>
      <c r="I29" s="25" t="n">
        <v>1</v>
      </c>
      <c r="J29" s="33" t="n">
        <v>0.25</v>
      </c>
      <c r="K29" s="25" t="n">
        <v>0</v>
      </c>
      <c r="L29" s="33" t="n">
        <v>0</v>
      </c>
      <c r="M29" s="25" t="n">
        <v>2</v>
      </c>
    </row>
    <row r="30" customFormat="false" ht="15" hidden="false" customHeight="false" outlineLevel="0" collapsed="false">
      <c r="A30" s="27"/>
      <c r="B30" s="28" t="s">
        <v>22</v>
      </c>
      <c r="C30" s="27" t="n">
        <f aca="false">SUM(C26:C29)</f>
        <v>4</v>
      </c>
      <c r="D30" s="154" t="n">
        <v>0.333333333333333</v>
      </c>
      <c r="E30" s="27" t="n">
        <f aca="false">SUM(E26:E29)</f>
        <v>3</v>
      </c>
      <c r="F30" s="154" t="n">
        <v>0.25</v>
      </c>
      <c r="G30" s="27" t="n">
        <f aca="false">SUM(G26:G29)</f>
        <v>2</v>
      </c>
      <c r="H30" s="154" t="n">
        <v>0.166666666666667</v>
      </c>
      <c r="I30" s="27" t="n">
        <f aca="false">SUM(I26:I29)</f>
        <v>3</v>
      </c>
      <c r="J30" s="154" t="n">
        <v>0.25</v>
      </c>
      <c r="K30" s="27" t="n">
        <f aca="false">SUM(K26:K29)</f>
        <v>0</v>
      </c>
      <c r="L30" s="154" t="n">
        <v>0</v>
      </c>
      <c r="M30" s="27" t="n">
        <f aca="false">SUM(M26:M29)</f>
        <v>12</v>
      </c>
    </row>
    <row r="31" customFormat="false" ht="15" hidden="false" customHeight="false" outlineLevel="0" collapsed="false">
      <c r="A31" s="24" t="s">
        <v>87</v>
      </c>
      <c r="B31" s="25" t="s">
        <v>44</v>
      </c>
      <c r="C31" s="25" t="n">
        <v>11</v>
      </c>
      <c r="D31" s="33" t="n">
        <v>0.458333333333333</v>
      </c>
      <c r="E31" s="25" t="n">
        <v>5</v>
      </c>
      <c r="F31" s="33" t="n">
        <v>0.208333333333333</v>
      </c>
      <c r="G31" s="25" t="n">
        <v>1</v>
      </c>
      <c r="H31" s="33" t="n">
        <v>0.0416666666666667</v>
      </c>
      <c r="I31" s="25" t="n">
        <v>0</v>
      </c>
      <c r="J31" s="33" t="n">
        <v>0</v>
      </c>
      <c r="K31" s="25" t="n">
        <v>0</v>
      </c>
      <c r="L31" s="33" t="n">
        <v>0</v>
      </c>
      <c r="M31" s="25" t="n">
        <v>17</v>
      </c>
    </row>
    <row r="32" customFormat="false" ht="15" hidden="false" customHeight="false" outlineLevel="0" collapsed="false">
      <c r="A32" s="25"/>
      <c r="B32" s="25" t="s">
        <v>45</v>
      </c>
      <c r="C32" s="25" t="n">
        <v>0</v>
      </c>
      <c r="D32" s="33" t="n">
        <v>0</v>
      </c>
      <c r="E32" s="25" t="n">
        <v>0</v>
      </c>
      <c r="F32" s="33" t="n">
        <v>0</v>
      </c>
      <c r="G32" s="25" t="n">
        <v>0</v>
      </c>
      <c r="H32" s="33" t="n">
        <v>0</v>
      </c>
      <c r="I32" s="25" t="n">
        <v>0</v>
      </c>
      <c r="J32" s="33" t="n">
        <v>0</v>
      </c>
      <c r="K32" s="25" t="n">
        <v>0</v>
      </c>
      <c r="L32" s="33" t="n">
        <v>0</v>
      </c>
      <c r="M32" s="25" t="n">
        <v>0</v>
      </c>
    </row>
    <row r="33" customFormat="false" ht="15" hidden="false" customHeight="false" outlineLevel="0" collapsed="false">
      <c r="A33" s="25"/>
      <c r="B33" s="25" t="s">
        <v>46</v>
      </c>
      <c r="C33" s="25" t="n">
        <v>13</v>
      </c>
      <c r="D33" s="33" t="n">
        <v>0.541666666666667</v>
      </c>
      <c r="E33" s="25" t="n">
        <v>14</v>
      </c>
      <c r="F33" s="33" t="n">
        <v>0.583333333333333</v>
      </c>
      <c r="G33" s="25" t="n">
        <v>3</v>
      </c>
      <c r="H33" s="33" t="n">
        <v>0.125</v>
      </c>
      <c r="I33" s="25" t="n">
        <v>2</v>
      </c>
      <c r="J33" s="33" t="n">
        <v>0.0833333333333333</v>
      </c>
      <c r="K33" s="25" t="n">
        <v>1</v>
      </c>
      <c r="L33" s="33" t="n">
        <v>0.0416666666666667</v>
      </c>
      <c r="M33" s="25" t="n">
        <v>33</v>
      </c>
    </row>
    <row r="34" customFormat="false" ht="15" hidden="false" customHeight="false" outlineLevel="0" collapsed="false">
      <c r="A34" s="27"/>
      <c r="B34" s="28" t="s">
        <v>22</v>
      </c>
      <c r="C34" s="27" t="n">
        <v>24</v>
      </c>
      <c r="D34" s="154" t="n">
        <v>0.48</v>
      </c>
      <c r="E34" s="27" t="n">
        <v>19</v>
      </c>
      <c r="F34" s="154" t="n">
        <v>0.38</v>
      </c>
      <c r="G34" s="27" t="n">
        <v>4</v>
      </c>
      <c r="H34" s="154" t="n">
        <v>0.08</v>
      </c>
      <c r="I34" s="27" t="n">
        <v>2</v>
      </c>
      <c r="J34" s="154" t="n">
        <v>0.04</v>
      </c>
      <c r="K34" s="27" t="n">
        <v>1</v>
      </c>
      <c r="L34" s="154" t="n">
        <v>0.02</v>
      </c>
      <c r="M34" s="27" t="n">
        <v>50</v>
      </c>
    </row>
    <row r="35" customFormat="false" ht="15" hidden="false" customHeight="false" outlineLevel="0" collapsed="false">
      <c r="A35" s="24" t="s">
        <v>90</v>
      </c>
      <c r="B35" s="25" t="s">
        <v>91</v>
      </c>
      <c r="C35" s="25" t="n">
        <v>0</v>
      </c>
      <c r="D35" s="33" t="n">
        <v>0</v>
      </c>
      <c r="E35" s="25" t="n">
        <v>0</v>
      </c>
      <c r="F35" s="33" t="n">
        <v>0</v>
      </c>
      <c r="G35" s="25" t="n">
        <v>0</v>
      </c>
      <c r="H35" s="33" t="n">
        <v>0</v>
      </c>
      <c r="I35" s="25" t="n">
        <v>0</v>
      </c>
      <c r="J35" s="33" t="n">
        <v>0</v>
      </c>
      <c r="K35" s="25" t="n">
        <v>0</v>
      </c>
      <c r="L35" s="33" t="n">
        <v>0</v>
      </c>
      <c r="M35" s="25" t="n">
        <v>0</v>
      </c>
    </row>
    <row r="36" customFormat="false" ht="15" hidden="false" customHeight="false" outlineLevel="0" collapsed="false">
      <c r="A36" s="25"/>
      <c r="B36" s="25" t="s">
        <v>92</v>
      </c>
      <c r="C36" s="25" t="n">
        <v>8</v>
      </c>
      <c r="D36" s="33" t="n">
        <v>0.275862068965517</v>
      </c>
      <c r="E36" s="25" t="n">
        <v>2</v>
      </c>
      <c r="F36" s="33" t="n">
        <v>0.0689655172413793</v>
      </c>
      <c r="G36" s="25" t="n">
        <v>2</v>
      </c>
      <c r="H36" s="33" t="n">
        <v>0.0689655172413793</v>
      </c>
      <c r="I36" s="25" t="n">
        <v>0</v>
      </c>
      <c r="J36" s="33" t="n">
        <v>0</v>
      </c>
      <c r="K36" s="25" t="n">
        <v>0</v>
      </c>
      <c r="L36" s="33" t="n">
        <v>0</v>
      </c>
      <c r="M36" s="25" t="n">
        <v>12</v>
      </c>
    </row>
    <row r="37" customFormat="false" ht="15" hidden="false" customHeight="false" outlineLevel="0" collapsed="false">
      <c r="A37" s="25"/>
      <c r="B37" s="25" t="s">
        <v>93</v>
      </c>
      <c r="C37" s="25" t="n">
        <v>0</v>
      </c>
      <c r="D37" s="33" t="n">
        <v>0</v>
      </c>
      <c r="E37" s="25" t="n">
        <v>0</v>
      </c>
      <c r="F37" s="33" t="n">
        <v>0</v>
      </c>
      <c r="G37" s="25" t="n">
        <v>0</v>
      </c>
      <c r="H37" s="33" t="n">
        <v>0</v>
      </c>
      <c r="I37" s="25" t="n">
        <v>0</v>
      </c>
      <c r="J37" s="33" t="n">
        <v>0</v>
      </c>
      <c r="K37" s="25" t="n">
        <v>0</v>
      </c>
      <c r="L37" s="33" t="n">
        <v>0</v>
      </c>
      <c r="M37" s="25" t="n">
        <v>0</v>
      </c>
    </row>
    <row r="38" customFormat="false" ht="15" hidden="false" customHeight="false" outlineLevel="0" collapsed="false">
      <c r="A38" s="25"/>
      <c r="B38" s="25" t="s">
        <v>94</v>
      </c>
      <c r="C38" s="25" t="n">
        <v>3</v>
      </c>
      <c r="D38" s="33" t="n">
        <v>0.103448275862069</v>
      </c>
      <c r="E38" s="25" t="n">
        <v>4</v>
      </c>
      <c r="F38" s="33" t="n">
        <v>0.137931034482759</v>
      </c>
      <c r="G38" s="25" t="n">
        <v>5</v>
      </c>
      <c r="H38" s="33" t="n">
        <v>0.172413793103448</v>
      </c>
      <c r="I38" s="25" t="n">
        <v>1</v>
      </c>
      <c r="J38" s="33" t="n">
        <v>0.0344827586206897</v>
      </c>
      <c r="K38" s="25" t="n">
        <v>0</v>
      </c>
      <c r="L38" s="33" t="n">
        <v>0</v>
      </c>
      <c r="M38" s="25" t="n">
        <v>13</v>
      </c>
    </row>
    <row r="39" customFormat="false" ht="15" hidden="false" customHeight="false" outlineLevel="0" collapsed="false">
      <c r="A39" s="25"/>
      <c r="B39" s="25" t="s">
        <v>95</v>
      </c>
      <c r="C39" s="25" t="n">
        <v>3</v>
      </c>
      <c r="D39" s="33" t="n">
        <v>0.103448275862069</v>
      </c>
      <c r="E39" s="25" t="n">
        <v>3</v>
      </c>
      <c r="F39" s="33" t="n">
        <v>0.103448275862069</v>
      </c>
      <c r="G39" s="25" t="n">
        <v>5</v>
      </c>
      <c r="H39" s="33" t="n">
        <v>0.172413793103448</v>
      </c>
      <c r="I39" s="25" t="n">
        <v>1</v>
      </c>
      <c r="J39" s="33" t="n">
        <v>0.0344827586206897</v>
      </c>
      <c r="K39" s="25" t="n">
        <v>0</v>
      </c>
      <c r="L39" s="33" t="n">
        <v>0</v>
      </c>
      <c r="M39" s="25" t="n">
        <v>12</v>
      </c>
    </row>
    <row r="40" customFormat="false" ht="15" hidden="false" customHeight="false" outlineLevel="0" collapsed="false">
      <c r="A40" s="25"/>
      <c r="B40" s="25" t="s">
        <v>96</v>
      </c>
      <c r="C40" s="25" t="n">
        <v>12</v>
      </c>
      <c r="D40" s="33" t="n">
        <v>0.413793103448276</v>
      </c>
      <c r="E40" s="25" t="n">
        <v>3</v>
      </c>
      <c r="F40" s="33" t="n">
        <v>0.103448275862069</v>
      </c>
      <c r="G40" s="25" t="n">
        <v>3</v>
      </c>
      <c r="H40" s="33" t="n">
        <v>0.103448275862069</v>
      </c>
      <c r="I40" s="25" t="n">
        <v>0</v>
      </c>
      <c r="J40" s="33" t="n">
        <v>0</v>
      </c>
      <c r="K40" s="25" t="n">
        <v>0</v>
      </c>
      <c r="L40" s="33" t="n">
        <v>0</v>
      </c>
      <c r="M40" s="25" t="n">
        <v>18</v>
      </c>
    </row>
    <row r="41" customFormat="false" ht="15" hidden="false" customHeight="false" outlineLevel="0" collapsed="false">
      <c r="A41" s="25"/>
      <c r="B41" s="25" t="s">
        <v>97</v>
      </c>
      <c r="C41" s="25" t="n">
        <v>3</v>
      </c>
      <c r="D41" s="33" t="n">
        <v>0.103448275862069</v>
      </c>
      <c r="E41" s="25" t="n">
        <v>2</v>
      </c>
      <c r="F41" s="33" t="n">
        <v>0.0689655172413793</v>
      </c>
      <c r="G41" s="25" t="n">
        <v>3</v>
      </c>
      <c r="H41" s="33" t="n">
        <v>0.103448275862069</v>
      </c>
      <c r="I41" s="25" t="n">
        <v>0</v>
      </c>
      <c r="J41" s="33" t="n">
        <v>0</v>
      </c>
      <c r="K41" s="25" t="n">
        <v>1</v>
      </c>
      <c r="L41" s="33" t="n">
        <v>0.0344827586206897</v>
      </c>
      <c r="M41" s="25" t="n">
        <v>9</v>
      </c>
    </row>
    <row r="42" customFormat="false" ht="15" hidden="false" customHeight="false" outlineLevel="0" collapsed="false">
      <c r="A42" s="25"/>
      <c r="B42" s="25" t="s">
        <v>98</v>
      </c>
      <c r="C42" s="25" t="n">
        <v>0</v>
      </c>
      <c r="D42" s="33" t="n">
        <v>0</v>
      </c>
      <c r="E42" s="25" t="n">
        <v>0</v>
      </c>
      <c r="F42" s="33" t="n">
        <v>0</v>
      </c>
      <c r="G42" s="25" t="n">
        <v>0</v>
      </c>
      <c r="H42" s="33" t="n">
        <v>0</v>
      </c>
      <c r="I42" s="25" t="n">
        <v>0</v>
      </c>
      <c r="J42" s="33" t="n">
        <v>0</v>
      </c>
      <c r="K42" s="25" t="n">
        <v>0</v>
      </c>
      <c r="L42" s="33" t="n">
        <v>0</v>
      </c>
      <c r="M42" s="25" t="n">
        <v>0</v>
      </c>
    </row>
    <row r="43" customFormat="false" ht="15" hidden="false" customHeight="false" outlineLevel="0" collapsed="false">
      <c r="A43" s="25"/>
      <c r="B43" s="25" t="s">
        <v>99</v>
      </c>
      <c r="C43" s="25" t="n">
        <v>0</v>
      </c>
      <c r="D43" s="33" t="n">
        <v>0</v>
      </c>
      <c r="E43" s="25" t="n">
        <v>0</v>
      </c>
      <c r="F43" s="33" t="n">
        <v>0</v>
      </c>
      <c r="G43" s="25" t="n">
        <v>3</v>
      </c>
      <c r="H43" s="33" t="n">
        <v>0.103448275862069</v>
      </c>
      <c r="I43" s="25" t="n">
        <v>0</v>
      </c>
      <c r="J43" s="33" t="n">
        <v>0</v>
      </c>
      <c r="K43" s="25" t="n">
        <v>0</v>
      </c>
      <c r="L43" s="33" t="n">
        <v>0</v>
      </c>
      <c r="M43" s="25" t="n">
        <v>3</v>
      </c>
    </row>
    <row r="44" customFormat="false" ht="15" hidden="false" customHeight="false" outlineLevel="0" collapsed="false">
      <c r="A44" s="27"/>
      <c r="B44" s="28" t="s">
        <v>22</v>
      </c>
      <c r="C44" s="27" t="n">
        <v>29</v>
      </c>
      <c r="D44" s="154" t="n">
        <v>0.432835820895522</v>
      </c>
      <c r="E44" s="27" t="n">
        <v>14</v>
      </c>
      <c r="F44" s="154" t="n">
        <v>0.208955223880597</v>
      </c>
      <c r="G44" s="27" t="n">
        <v>21</v>
      </c>
      <c r="H44" s="154" t="n">
        <v>0.313432835820896</v>
      </c>
      <c r="I44" s="27" t="n">
        <v>2</v>
      </c>
      <c r="J44" s="154" t="n">
        <v>0.0298507462686567</v>
      </c>
      <c r="K44" s="27" t="n">
        <v>1</v>
      </c>
      <c r="L44" s="154" t="n">
        <v>0.0149253731343284</v>
      </c>
      <c r="M44" s="27" t="n">
        <v>67</v>
      </c>
    </row>
    <row r="45" customFormat="false" ht="15" hidden="false" customHeight="false" outlineLevel="0" collapsed="false">
      <c r="A45" s="24" t="s">
        <v>100</v>
      </c>
      <c r="B45" s="25" t="s">
        <v>101</v>
      </c>
      <c r="C45" s="25" t="n">
        <v>6</v>
      </c>
      <c r="D45" s="33" t="n">
        <v>0.545454545454546</v>
      </c>
      <c r="E45" s="25" t="n">
        <v>6</v>
      </c>
      <c r="F45" s="33" t="n">
        <v>0.5</v>
      </c>
      <c r="G45" s="25" t="n">
        <v>4</v>
      </c>
      <c r="H45" s="33" t="n">
        <v>0.307692307692308</v>
      </c>
      <c r="I45" s="25" t="n">
        <v>0</v>
      </c>
      <c r="J45" s="33" t="n">
        <v>0</v>
      </c>
      <c r="K45" s="25" t="n">
        <v>1</v>
      </c>
      <c r="L45" s="33" t="n">
        <v>0.5</v>
      </c>
      <c r="M45" s="25" t="n">
        <v>17</v>
      </c>
    </row>
    <row r="46" customFormat="false" ht="15" hidden="false" customHeight="false" outlineLevel="0" collapsed="false">
      <c r="A46" s="25"/>
      <c r="B46" s="25" t="s">
        <v>102</v>
      </c>
      <c r="C46" s="25" t="n">
        <v>0</v>
      </c>
      <c r="D46" s="33" t="n">
        <v>0</v>
      </c>
      <c r="E46" s="25" t="n">
        <v>0</v>
      </c>
      <c r="F46" s="33" t="n">
        <v>0</v>
      </c>
      <c r="G46" s="25" t="n">
        <v>0</v>
      </c>
      <c r="H46" s="33" t="n">
        <v>0</v>
      </c>
      <c r="I46" s="25" t="n">
        <v>0</v>
      </c>
      <c r="J46" s="33" t="n">
        <v>0</v>
      </c>
      <c r="K46" s="25" t="n">
        <v>0</v>
      </c>
      <c r="L46" s="33" t="n">
        <v>0</v>
      </c>
      <c r="M46" s="25" t="n">
        <v>0</v>
      </c>
    </row>
    <row r="47" customFormat="false" ht="15" hidden="false" customHeight="false" outlineLevel="0" collapsed="false">
      <c r="A47" s="25"/>
      <c r="B47" s="25" t="s">
        <v>103</v>
      </c>
      <c r="C47" s="25" t="n">
        <v>0</v>
      </c>
      <c r="D47" s="33" t="n">
        <v>0</v>
      </c>
      <c r="E47" s="25" t="n">
        <v>0</v>
      </c>
      <c r="F47" s="33" t="n">
        <v>0</v>
      </c>
      <c r="G47" s="25" t="n">
        <v>1</v>
      </c>
      <c r="H47" s="33" t="n">
        <v>0.0769230769230769</v>
      </c>
      <c r="I47" s="25" t="n">
        <v>0</v>
      </c>
      <c r="J47" s="33" t="n">
        <v>0</v>
      </c>
      <c r="K47" s="25" t="n">
        <v>0</v>
      </c>
      <c r="L47" s="33" t="n">
        <v>0</v>
      </c>
      <c r="M47" s="25" t="n">
        <v>1</v>
      </c>
    </row>
    <row r="48" customFormat="false" ht="15" hidden="false" customHeight="false" outlineLevel="0" collapsed="false">
      <c r="A48" s="25"/>
      <c r="B48" s="25" t="s">
        <v>104</v>
      </c>
      <c r="C48" s="25" t="n">
        <v>0</v>
      </c>
      <c r="D48" s="33" t="n">
        <v>0</v>
      </c>
      <c r="E48" s="25" t="n">
        <v>0</v>
      </c>
      <c r="F48" s="33" t="n">
        <v>0</v>
      </c>
      <c r="G48" s="25" t="n">
        <v>0</v>
      </c>
      <c r="H48" s="33" t="n">
        <v>0</v>
      </c>
      <c r="I48" s="25" t="n">
        <v>0</v>
      </c>
      <c r="J48" s="33" t="n">
        <v>0</v>
      </c>
      <c r="K48" s="25" t="n">
        <v>0</v>
      </c>
      <c r="L48" s="33" t="n">
        <v>0</v>
      </c>
      <c r="M48" s="25" t="n">
        <v>0</v>
      </c>
    </row>
    <row r="49" customFormat="false" ht="15" hidden="false" customHeight="false" outlineLevel="0" collapsed="false">
      <c r="A49" s="25"/>
      <c r="B49" s="25" t="s">
        <v>105</v>
      </c>
      <c r="C49" s="25" t="n">
        <v>0</v>
      </c>
      <c r="D49" s="33" t="n">
        <v>0</v>
      </c>
      <c r="E49" s="25" t="n">
        <v>0</v>
      </c>
      <c r="F49" s="33" t="n">
        <v>0</v>
      </c>
      <c r="G49" s="25" t="n">
        <v>0</v>
      </c>
      <c r="H49" s="33" t="n">
        <v>0</v>
      </c>
      <c r="I49" s="25" t="n">
        <v>0</v>
      </c>
      <c r="J49" s="33" t="n">
        <v>0</v>
      </c>
      <c r="K49" s="25" t="n">
        <v>0</v>
      </c>
      <c r="L49" s="33" t="n">
        <v>0</v>
      </c>
      <c r="M49" s="25" t="n">
        <v>0</v>
      </c>
    </row>
    <row r="50" customFormat="false" ht="15" hidden="false" customHeight="false" outlineLevel="0" collapsed="false">
      <c r="A50" s="25"/>
      <c r="B50" s="25" t="s">
        <v>106</v>
      </c>
      <c r="C50" s="25" t="n">
        <v>0</v>
      </c>
      <c r="D50" s="33" t="n">
        <v>0</v>
      </c>
      <c r="E50" s="25" t="n">
        <v>0</v>
      </c>
      <c r="F50" s="33" t="n">
        <v>0</v>
      </c>
      <c r="G50" s="25" t="n">
        <v>0</v>
      </c>
      <c r="H50" s="33" t="n">
        <v>0</v>
      </c>
      <c r="I50" s="25" t="n">
        <v>0</v>
      </c>
      <c r="J50" s="33" t="n">
        <v>0</v>
      </c>
      <c r="K50" s="25" t="n">
        <v>0</v>
      </c>
      <c r="L50" s="33" t="n">
        <v>0</v>
      </c>
      <c r="M50" s="25" t="n">
        <v>0</v>
      </c>
    </row>
    <row r="51" customFormat="false" ht="15" hidden="false" customHeight="false" outlineLevel="0" collapsed="false">
      <c r="A51" s="25"/>
      <c r="B51" s="25" t="s">
        <v>107</v>
      </c>
      <c r="C51" s="25" t="n">
        <v>0</v>
      </c>
      <c r="D51" s="33" t="n">
        <v>0</v>
      </c>
      <c r="E51" s="25" t="n">
        <v>0</v>
      </c>
      <c r="F51" s="33" t="n">
        <v>0</v>
      </c>
      <c r="G51" s="25" t="n">
        <v>0</v>
      </c>
      <c r="H51" s="33" t="n">
        <v>0</v>
      </c>
      <c r="I51" s="25" t="n">
        <v>0</v>
      </c>
      <c r="J51" s="33" t="n">
        <v>0</v>
      </c>
      <c r="K51" s="25" t="n">
        <v>0</v>
      </c>
      <c r="L51" s="33" t="n">
        <v>0</v>
      </c>
      <c r="M51" s="25" t="n">
        <v>0</v>
      </c>
    </row>
    <row r="52" customFormat="false" ht="15" hidden="false" customHeight="false" outlineLevel="0" collapsed="false">
      <c r="A52" s="25"/>
      <c r="B52" s="25" t="s">
        <v>108</v>
      </c>
      <c r="C52" s="25" t="n">
        <v>0</v>
      </c>
      <c r="D52" s="33" t="n">
        <v>0</v>
      </c>
      <c r="E52" s="25" t="n">
        <v>2</v>
      </c>
      <c r="F52" s="33" t="n">
        <v>0.166666666666667</v>
      </c>
      <c r="G52" s="25" t="n">
        <v>0</v>
      </c>
      <c r="H52" s="33" t="n">
        <v>0</v>
      </c>
      <c r="I52" s="25" t="n">
        <v>0</v>
      </c>
      <c r="J52" s="33" t="n">
        <v>0</v>
      </c>
      <c r="K52" s="25" t="n">
        <v>0</v>
      </c>
      <c r="L52" s="33" t="n">
        <v>0</v>
      </c>
      <c r="M52" s="25" t="n">
        <v>2</v>
      </c>
    </row>
    <row r="53" customFormat="false" ht="15" hidden="false" customHeight="false" outlineLevel="0" collapsed="false">
      <c r="A53" s="25"/>
      <c r="B53" s="25" t="s">
        <v>109</v>
      </c>
      <c r="C53" s="25" t="n">
        <v>3</v>
      </c>
      <c r="D53" s="33" t="n">
        <v>0.272727272727273</v>
      </c>
      <c r="E53" s="25" t="n">
        <v>1</v>
      </c>
      <c r="F53" s="33" t="n">
        <v>0.0833333333333333</v>
      </c>
      <c r="G53" s="25" t="n">
        <v>2</v>
      </c>
      <c r="H53" s="33" t="n">
        <v>0.153846153846154</v>
      </c>
      <c r="I53" s="25" t="n">
        <v>0</v>
      </c>
      <c r="J53" s="33" t="n">
        <v>0</v>
      </c>
      <c r="K53" s="25" t="n">
        <v>1</v>
      </c>
      <c r="L53" s="33" t="n">
        <v>0.5</v>
      </c>
      <c r="M53" s="25" t="n">
        <v>7</v>
      </c>
    </row>
    <row r="54" customFormat="false" ht="15" hidden="false" customHeight="false" outlineLevel="0" collapsed="false">
      <c r="A54" s="25"/>
      <c r="B54" s="25" t="s">
        <v>110</v>
      </c>
      <c r="C54" s="25" t="n">
        <v>1</v>
      </c>
      <c r="D54" s="33" t="n">
        <v>0.0909090909090909</v>
      </c>
      <c r="E54" s="25" t="n">
        <v>1</v>
      </c>
      <c r="F54" s="33" t="n">
        <v>0.0833333333333333</v>
      </c>
      <c r="G54" s="25" t="n">
        <v>1</v>
      </c>
      <c r="H54" s="33" t="n">
        <v>0.0769230769230769</v>
      </c>
      <c r="I54" s="25" t="n">
        <v>0</v>
      </c>
      <c r="J54" s="33" t="n">
        <v>0</v>
      </c>
      <c r="K54" s="25" t="n">
        <v>0</v>
      </c>
      <c r="L54" s="33" t="n">
        <v>0</v>
      </c>
      <c r="M54" s="25" t="n">
        <v>3</v>
      </c>
    </row>
    <row r="55" customFormat="false" ht="15" hidden="false" customHeight="false" outlineLevel="0" collapsed="false">
      <c r="A55" s="25"/>
      <c r="B55" s="25" t="s">
        <v>111</v>
      </c>
      <c r="C55" s="25" t="n">
        <v>0</v>
      </c>
      <c r="D55" s="33" t="n">
        <v>0</v>
      </c>
      <c r="E55" s="25" t="n">
        <v>0</v>
      </c>
      <c r="F55" s="33" t="n">
        <v>0</v>
      </c>
      <c r="G55" s="25" t="n">
        <v>0</v>
      </c>
      <c r="H55" s="33" t="n">
        <v>0</v>
      </c>
      <c r="I55" s="25" t="n">
        <v>0</v>
      </c>
      <c r="J55" s="33" t="n">
        <v>0</v>
      </c>
      <c r="K55" s="25" t="n">
        <v>0</v>
      </c>
      <c r="L55" s="33" t="n">
        <v>0</v>
      </c>
      <c r="M55" s="25" t="n">
        <v>0</v>
      </c>
    </row>
    <row r="56" customFormat="false" ht="15" hidden="false" customHeight="false" outlineLevel="0" collapsed="false">
      <c r="A56" s="25"/>
      <c r="B56" s="25" t="s">
        <v>112</v>
      </c>
      <c r="C56" s="25" t="n">
        <v>0</v>
      </c>
      <c r="D56" s="33" t="n">
        <v>0</v>
      </c>
      <c r="E56" s="25" t="n">
        <v>0</v>
      </c>
      <c r="F56" s="33" t="n">
        <v>0</v>
      </c>
      <c r="G56" s="25" t="n">
        <v>0</v>
      </c>
      <c r="H56" s="33" t="n">
        <v>0</v>
      </c>
      <c r="I56" s="25" t="n">
        <v>0</v>
      </c>
      <c r="J56" s="33" t="n">
        <v>0</v>
      </c>
      <c r="K56" s="25" t="n">
        <v>0</v>
      </c>
      <c r="L56" s="33" t="n">
        <v>0</v>
      </c>
      <c r="M56" s="25" t="n">
        <v>0</v>
      </c>
    </row>
    <row r="57" customFormat="false" ht="15" hidden="false" customHeight="false" outlineLevel="0" collapsed="false">
      <c r="A57" s="25"/>
      <c r="B57" s="25" t="s">
        <v>113</v>
      </c>
      <c r="C57" s="25" t="n">
        <v>0</v>
      </c>
      <c r="D57" s="33" t="n">
        <v>0</v>
      </c>
      <c r="E57" s="25" t="n">
        <v>0</v>
      </c>
      <c r="F57" s="33" t="n">
        <v>0</v>
      </c>
      <c r="G57" s="25" t="n">
        <v>0</v>
      </c>
      <c r="H57" s="33" t="n">
        <v>0</v>
      </c>
      <c r="I57" s="25" t="n">
        <v>0</v>
      </c>
      <c r="J57" s="33" t="n">
        <v>0</v>
      </c>
      <c r="K57" s="25" t="n">
        <v>0</v>
      </c>
      <c r="L57" s="33" t="n">
        <v>0</v>
      </c>
      <c r="M57" s="25" t="n">
        <v>0</v>
      </c>
    </row>
    <row r="58" customFormat="false" ht="15" hidden="false" customHeight="false" outlineLevel="0" collapsed="false">
      <c r="A58" s="25"/>
      <c r="B58" s="25" t="s">
        <v>114</v>
      </c>
      <c r="C58" s="25" t="n">
        <v>0</v>
      </c>
      <c r="D58" s="33" t="n">
        <v>0</v>
      </c>
      <c r="E58" s="25" t="n">
        <v>0</v>
      </c>
      <c r="F58" s="33" t="n">
        <v>0</v>
      </c>
      <c r="G58" s="25" t="n">
        <v>0</v>
      </c>
      <c r="H58" s="33" t="n">
        <v>0</v>
      </c>
      <c r="I58" s="25" t="n">
        <v>0</v>
      </c>
      <c r="J58" s="33" t="n">
        <v>0</v>
      </c>
      <c r="K58" s="25" t="n">
        <v>0</v>
      </c>
      <c r="L58" s="33" t="n">
        <v>0</v>
      </c>
      <c r="M58" s="25" t="n">
        <v>0</v>
      </c>
    </row>
    <row r="59" customFormat="false" ht="15" hidden="false" customHeight="false" outlineLevel="0" collapsed="false">
      <c r="A59" s="25"/>
      <c r="B59" s="25" t="s">
        <v>115</v>
      </c>
      <c r="C59" s="25" t="n">
        <v>1</v>
      </c>
      <c r="D59" s="33" t="n">
        <v>0.0909090909090909</v>
      </c>
      <c r="E59" s="25" t="n">
        <v>2</v>
      </c>
      <c r="F59" s="33" t="n">
        <v>0.166666666666667</v>
      </c>
      <c r="G59" s="25" t="n">
        <v>5</v>
      </c>
      <c r="H59" s="33" t="n">
        <v>0.384615384615385</v>
      </c>
      <c r="I59" s="25" t="n">
        <v>0</v>
      </c>
      <c r="J59" s="33" t="n">
        <v>0</v>
      </c>
      <c r="K59" s="25" t="n">
        <v>0</v>
      </c>
      <c r="L59" s="33" t="n">
        <v>0</v>
      </c>
      <c r="M59" s="25" t="n">
        <v>8</v>
      </c>
    </row>
    <row r="60" customFormat="false" ht="15" hidden="false" customHeight="false" outlineLevel="0" collapsed="false">
      <c r="A60" s="25"/>
      <c r="B60" s="25" t="s">
        <v>116</v>
      </c>
      <c r="C60" s="25" t="n">
        <v>0</v>
      </c>
      <c r="D60" s="33" t="n">
        <v>0</v>
      </c>
      <c r="E60" s="25" t="n">
        <v>0</v>
      </c>
      <c r="F60" s="33" t="n">
        <v>0</v>
      </c>
      <c r="G60" s="25" t="n">
        <v>0</v>
      </c>
      <c r="H60" s="33" t="n">
        <v>0</v>
      </c>
      <c r="I60" s="25" t="n">
        <v>0</v>
      </c>
      <c r="J60" s="33" t="n">
        <v>0</v>
      </c>
      <c r="K60" s="25" t="n">
        <v>0</v>
      </c>
      <c r="L60" s="33" t="n">
        <v>0</v>
      </c>
      <c r="M60" s="25" t="n">
        <v>0</v>
      </c>
    </row>
    <row r="61" customFormat="false" ht="15" hidden="false" customHeight="false" outlineLevel="0" collapsed="false">
      <c r="A61" s="27"/>
      <c r="B61" s="162" t="s">
        <v>22</v>
      </c>
      <c r="C61" s="27" t="n">
        <v>11</v>
      </c>
      <c r="D61" s="154" t="n">
        <v>0.289473684210526</v>
      </c>
      <c r="E61" s="27" t="n">
        <v>12</v>
      </c>
      <c r="F61" s="154" t="n">
        <v>0.31578947368421</v>
      </c>
      <c r="G61" s="27" t="n">
        <v>13</v>
      </c>
      <c r="H61" s="154" t="n">
        <v>0.342105263157895</v>
      </c>
      <c r="I61" s="27" t="n">
        <v>0</v>
      </c>
      <c r="J61" s="154" t="n">
        <v>0</v>
      </c>
      <c r="K61" s="27" t="n">
        <v>2</v>
      </c>
      <c r="L61" s="154" t="n">
        <v>0.0526315789473684</v>
      </c>
      <c r="M61" s="27" t="n">
        <v>38</v>
      </c>
    </row>
    <row r="62" customFormat="false" ht="15" hidden="false" customHeight="false" outlineLevel="0" collapsed="false">
      <c r="A62" s="30"/>
      <c r="B62" s="163" t="s">
        <v>74</v>
      </c>
      <c r="C62" s="31" t="n">
        <v>72</v>
      </c>
      <c r="D62" s="164" t="n">
        <v>0.402234636871508</v>
      </c>
      <c r="E62" s="31" t="n">
        <v>49</v>
      </c>
      <c r="F62" s="164" t="n">
        <v>0.273743016759777</v>
      </c>
      <c r="G62" s="31" t="n">
        <v>44</v>
      </c>
      <c r="H62" s="164" t="n">
        <v>0.245810055865922</v>
      </c>
      <c r="I62" s="31" t="n">
        <v>9</v>
      </c>
      <c r="J62" s="164" t="n">
        <v>0.0502793296089386</v>
      </c>
      <c r="K62" s="31" t="n">
        <v>5</v>
      </c>
      <c r="L62" s="165" t="n">
        <v>0.0279329608938547</v>
      </c>
      <c r="M62" s="26" t="n">
        <v>179</v>
      </c>
    </row>
    <row r="63" customFormat="false" ht="15" hidden="false" customHeight="false" outlineLevel="0" collapsed="false">
      <c r="A63" s="34" t="s">
        <v>118</v>
      </c>
    </row>
  </sheetData>
  <mergeCells count="7">
    <mergeCell ref="A1:M1"/>
    <mergeCell ref="C2:L2"/>
    <mergeCell ref="C3:D4"/>
    <mergeCell ref="E3:F4"/>
    <mergeCell ref="G3:H4"/>
    <mergeCell ref="I3:J4"/>
    <mergeCell ref="K3:L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outlineLevelRow="0" outlineLevelCol="0"/>
  <cols>
    <col collapsed="false" customWidth="true" hidden="false" outlineLevel="0" max="1" min="1" style="0" width="19.42"/>
    <col collapsed="false" customWidth="true" hidden="false" outlineLevel="0" max="2" min="2" style="0" width="19.29"/>
    <col collapsed="false" customWidth="true" hidden="false" outlineLevel="0" max="1025" min="3" style="0" width="8.67"/>
  </cols>
  <sheetData>
    <row r="1" customFormat="false" ht="15" hidden="false" customHeight="false" outlineLevel="0" collapsed="false">
      <c r="A1" s="35" t="s">
        <v>256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customFormat="false" ht="15" hidden="false" customHeight="false" outlineLevel="0" collapsed="false">
      <c r="A2" s="36"/>
      <c r="B2" s="36" t="s">
        <v>1</v>
      </c>
      <c r="C2" s="37" t="s">
        <v>248</v>
      </c>
      <c r="D2" s="37"/>
      <c r="E2" s="37"/>
      <c r="F2" s="37"/>
      <c r="G2" s="37"/>
      <c r="H2" s="37"/>
      <c r="I2" s="37"/>
      <c r="J2" s="37"/>
      <c r="K2" s="37"/>
      <c r="L2" s="37"/>
      <c r="M2" s="36"/>
    </row>
    <row r="3" customFormat="false" ht="15" hidden="false" customHeight="true" outlineLevel="0" collapsed="false">
      <c r="A3" s="146"/>
      <c r="B3" s="147"/>
      <c r="C3" s="39" t="s">
        <v>249</v>
      </c>
      <c r="D3" s="39"/>
      <c r="E3" s="39" t="s">
        <v>250</v>
      </c>
      <c r="F3" s="39"/>
      <c r="G3" s="39" t="s">
        <v>251</v>
      </c>
      <c r="H3" s="39"/>
      <c r="I3" s="39" t="s">
        <v>252</v>
      </c>
      <c r="J3" s="39"/>
      <c r="K3" s="39" t="s">
        <v>253</v>
      </c>
      <c r="L3" s="39"/>
      <c r="M3" s="146"/>
    </row>
    <row r="4" customFormat="false" ht="25.5" hidden="false" customHeight="false" outlineLevel="0" collapsed="false">
      <c r="A4" s="148" t="s">
        <v>2</v>
      </c>
      <c r="B4" s="149" t="s">
        <v>121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148" t="s">
        <v>80</v>
      </c>
    </row>
    <row r="5" customFormat="false" ht="15" hidden="false" customHeight="false" outlineLevel="0" collapsed="false">
      <c r="A5" s="150"/>
      <c r="B5" s="151"/>
      <c r="C5" s="104" t="s">
        <v>254</v>
      </c>
      <c r="D5" s="104" t="s">
        <v>255</v>
      </c>
      <c r="E5" s="104" t="s">
        <v>254</v>
      </c>
      <c r="F5" s="104" t="s">
        <v>255</v>
      </c>
      <c r="G5" s="104" t="s">
        <v>254</v>
      </c>
      <c r="H5" s="104" t="s">
        <v>255</v>
      </c>
      <c r="I5" s="104" t="s">
        <v>254</v>
      </c>
      <c r="J5" s="152" t="s">
        <v>255</v>
      </c>
      <c r="K5" s="104" t="s">
        <v>254</v>
      </c>
      <c r="L5" s="152" t="s">
        <v>255</v>
      </c>
      <c r="M5" s="153"/>
    </row>
    <row r="6" customFormat="false" ht="15" hidden="false" customHeight="false" outlineLevel="0" collapsed="false">
      <c r="A6" s="24" t="s">
        <v>81</v>
      </c>
      <c r="B6" s="25" t="s">
        <v>18</v>
      </c>
      <c r="C6" s="25" t="n">
        <v>0</v>
      </c>
      <c r="D6" s="33" t="n">
        <v>0</v>
      </c>
      <c r="E6" s="25" t="n">
        <v>0</v>
      </c>
      <c r="F6" s="33" t="n">
        <v>0</v>
      </c>
      <c r="G6" s="25" t="n">
        <v>0</v>
      </c>
      <c r="H6" s="33" t="n">
        <v>0</v>
      </c>
      <c r="I6" s="25" t="n">
        <v>0</v>
      </c>
      <c r="J6" s="33" t="n">
        <v>0</v>
      </c>
      <c r="K6" s="25" t="n">
        <v>0</v>
      </c>
      <c r="L6" s="33" t="n">
        <v>0</v>
      </c>
      <c r="M6" s="25" t="n">
        <v>0</v>
      </c>
    </row>
    <row r="7" customFormat="false" ht="15" hidden="false" customHeight="false" outlineLevel="0" collapsed="false">
      <c r="A7" s="26"/>
      <c r="B7" s="25" t="s">
        <v>19</v>
      </c>
      <c r="C7" s="25" t="n">
        <v>0</v>
      </c>
      <c r="D7" s="33" t="n">
        <v>0</v>
      </c>
      <c r="E7" s="25" t="n">
        <v>0</v>
      </c>
      <c r="F7" s="33" t="n">
        <v>0</v>
      </c>
      <c r="G7" s="25" t="n">
        <v>0</v>
      </c>
      <c r="H7" s="33" t="n">
        <v>0</v>
      </c>
      <c r="I7" s="25" t="n">
        <v>0</v>
      </c>
      <c r="J7" s="33" t="n">
        <v>0</v>
      </c>
      <c r="K7" s="25" t="n">
        <v>0</v>
      </c>
      <c r="L7" s="33" t="n">
        <v>0</v>
      </c>
      <c r="M7" s="25" t="n">
        <v>0</v>
      </c>
    </row>
    <row r="8" customFormat="false" ht="15" hidden="false" customHeight="false" outlineLevel="0" collapsed="false">
      <c r="A8" s="26"/>
      <c r="B8" s="25" t="s">
        <v>20</v>
      </c>
      <c r="C8" s="25" t="n">
        <v>0</v>
      </c>
      <c r="D8" s="33" t="n">
        <v>0</v>
      </c>
      <c r="E8" s="25" t="n">
        <v>0</v>
      </c>
      <c r="F8" s="33" t="n">
        <v>0</v>
      </c>
      <c r="G8" s="25" t="n">
        <v>0</v>
      </c>
      <c r="H8" s="33" t="n">
        <v>0</v>
      </c>
      <c r="I8" s="25" t="n">
        <v>0</v>
      </c>
      <c r="J8" s="33" t="n">
        <v>0</v>
      </c>
      <c r="K8" s="25" t="n">
        <v>0</v>
      </c>
      <c r="L8" s="33" t="n">
        <v>0</v>
      </c>
      <c r="M8" s="25" t="n">
        <v>0</v>
      </c>
    </row>
    <row r="9" customFormat="false" ht="15" hidden="false" customHeight="false" outlineLevel="0" collapsed="false">
      <c r="A9" s="26"/>
      <c r="B9" s="25" t="s">
        <v>21</v>
      </c>
      <c r="C9" s="25" t="n">
        <v>1</v>
      </c>
      <c r="D9" s="33" t="n">
        <v>1</v>
      </c>
      <c r="E9" s="25" t="n">
        <v>0</v>
      </c>
      <c r="F9" s="33" t="n">
        <v>0</v>
      </c>
      <c r="G9" s="25" t="n">
        <v>0</v>
      </c>
      <c r="H9" s="33" t="n">
        <v>0</v>
      </c>
      <c r="I9" s="25" t="n">
        <v>0</v>
      </c>
      <c r="J9" s="33" t="n">
        <v>0</v>
      </c>
      <c r="K9" s="25" t="n">
        <v>0</v>
      </c>
      <c r="L9" s="33" t="n">
        <v>0</v>
      </c>
      <c r="M9" s="25" t="n">
        <v>1</v>
      </c>
    </row>
    <row r="10" customFormat="false" ht="15" hidden="false" customHeight="false" outlineLevel="0" collapsed="false">
      <c r="A10" s="27"/>
      <c r="B10" s="28" t="s">
        <v>22</v>
      </c>
      <c r="C10" s="27" t="n">
        <v>1</v>
      </c>
      <c r="D10" s="154" t="n">
        <v>1</v>
      </c>
      <c r="E10" s="27" t="n">
        <v>0</v>
      </c>
      <c r="F10" s="154" t="n">
        <v>0</v>
      </c>
      <c r="G10" s="27" t="n">
        <v>0</v>
      </c>
      <c r="H10" s="154" t="n">
        <v>0</v>
      </c>
      <c r="I10" s="27" t="n">
        <v>0</v>
      </c>
      <c r="J10" s="154" t="n">
        <v>0</v>
      </c>
      <c r="K10" s="27" t="n">
        <v>0</v>
      </c>
      <c r="L10" s="154" t="n">
        <v>0</v>
      </c>
      <c r="M10" s="27" t="n">
        <v>1</v>
      </c>
    </row>
    <row r="11" customFormat="false" ht="15" hidden="false" customHeight="false" outlineLevel="0" collapsed="false">
      <c r="A11" s="24" t="s">
        <v>82</v>
      </c>
      <c r="B11" s="25" t="s">
        <v>24</v>
      </c>
      <c r="C11" s="25" t="n">
        <v>0</v>
      </c>
      <c r="D11" s="33" t="n">
        <v>0</v>
      </c>
      <c r="E11" s="25" t="n">
        <v>0</v>
      </c>
      <c r="F11" s="33" t="n">
        <v>0</v>
      </c>
      <c r="G11" s="25" t="n">
        <v>0</v>
      </c>
      <c r="H11" s="33" t="n">
        <v>0</v>
      </c>
      <c r="I11" s="25" t="n">
        <v>0</v>
      </c>
      <c r="J11" s="33" t="n">
        <v>0</v>
      </c>
      <c r="K11" s="25" t="n">
        <v>0</v>
      </c>
      <c r="L11" s="33" t="n">
        <v>0</v>
      </c>
      <c r="M11" s="25" t="n">
        <v>0</v>
      </c>
    </row>
    <row r="12" customFormat="false" ht="15" hidden="false" customHeight="false" outlineLevel="0" collapsed="false">
      <c r="A12" s="29"/>
      <c r="B12" s="25" t="s">
        <v>25</v>
      </c>
      <c r="C12" s="25" t="n">
        <v>0</v>
      </c>
      <c r="D12" s="33" t="n">
        <v>0</v>
      </c>
      <c r="E12" s="25" t="n">
        <v>0</v>
      </c>
      <c r="F12" s="33" t="n">
        <v>0</v>
      </c>
      <c r="G12" s="25" t="n">
        <v>0</v>
      </c>
      <c r="H12" s="33" t="n">
        <v>0</v>
      </c>
      <c r="I12" s="25" t="n">
        <v>0</v>
      </c>
      <c r="J12" s="33" t="n">
        <v>0</v>
      </c>
      <c r="K12" s="25" t="n">
        <v>0</v>
      </c>
      <c r="L12" s="33" t="n">
        <v>0</v>
      </c>
      <c r="M12" s="25" t="n">
        <v>0</v>
      </c>
    </row>
    <row r="13" customFormat="false" ht="15" hidden="false" customHeight="false" outlineLevel="0" collapsed="false">
      <c r="A13" s="29"/>
      <c r="B13" s="25" t="s">
        <v>26</v>
      </c>
      <c r="C13" s="25" t="n">
        <v>0</v>
      </c>
      <c r="D13" s="33" t="n">
        <v>0</v>
      </c>
      <c r="E13" s="25" t="n">
        <v>0</v>
      </c>
      <c r="F13" s="33" t="n">
        <v>0</v>
      </c>
      <c r="G13" s="25" t="n">
        <v>0</v>
      </c>
      <c r="H13" s="33" t="n">
        <v>0</v>
      </c>
      <c r="I13" s="25" t="n">
        <v>0</v>
      </c>
      <c r="J13" s="33" t="n">
        <v>0</v>
      </c>
      <c r="K13" s="25" t="n">
        <v>0</v>
      </c>
      <c r="L13" s="33" t="n">
        <v>0</v>
      </c>
      <c r="M13" s="25" t="n">
        <v>0</v>
      </c>
    </row>
    <row r="14" customFormat="false" ht="15" hidden="false" customHeight="false" outlineLevel="0" collapsed="false">
      <c r="A14" s="29"/>
      <c r="B14" s="25" t="s">
        <v>27</v>
      </c>
      <c r="C14" s="25" t="n">
        <v>0</v>
      </c>
      <c r="D14" s="33" t="n">
        <v>0</v>
      </c>
      <c r="E14" s="25" t="n">
        <v>0</v>
      </c>
      <c r="F14" s="33" t="n">
        <v>0</v>
      </c>
      <c r="G14" s="25" t="n">
        <v>0</v>
      </c>
      <c r="H14" s="33" t="n">
        <v>0</v>
      </c>
      <c r="I14" s="25" t="n">
        <v>1</v>
      </c>
      <c r="J14" s="33" t="n">
        <v>1</v>
      </c>
      <c r="K14" s="25" t="n">
        <v>0</v>
      </c>
      <c r="L14" s="33" t="n">
        <v>0</v>
      </c>
      <c r="M14" s="25" t="n">
        <v>1</v>
      </c>
    </row>
    <row r="15" customFormat="false" ht="15" hidden="false" customHeight="false" outlineLevel="0" collapsed="false">
      <c r="A15" s="27"/>
      <c r="B15" s="28" t="s">
        <v>22</v>
      </c>
      <c r="C15" s="27" t="n">
        <v>0</v>
      </c>
      <c r="D15" s="154" t="n">
        <v>0</v>
      </c>
      <c r="E15" s="27" t="n">
        <v>0</v>
      </c>
      <c r="F15" s="154" t="n">
        <v>0</v>
      </c>
      <c r="G15" s="27" t="n">
        <v>0</v>
      </c>
      <c r="H15" s="154" t="n">
        <v>0</v>
      </c>
      <c r="I15" s="27" t="n">
        <v>1</v>
      </c>
      <c r="J15" s="154" t="n">
        <v>1</v>
      </c>
      <c r="K15" s="27" t="n">
        <v>0</v>
      </c>
      <c r="L15" s="154" t="n">
        <v>0</v>
      </c>
      <c r="M15" s="27" t="n">
        <v>1</v>
      </c>
    </row>
    <row r="16" customFormat="false" ht="15" hidden="false" customHeight="false" outlineLevel="0" collapsed="false">
      <c r="A16" s="24" t="s">
        <v>83</v>
      </c>
      <c r="B16" s="25" t="s">
        <v>29</v>
      </c>
      <c r="C16" s="25" t="n">
        <v>0</v>
      </c>
      <c r="D16" s="33" t="n">
        <v>0</v>
      </c>
      <c r="E16" s="25" t="n">
        <v>0</v>
      </c>
      <c r="F16" s="33" t="n">
        <v>0</v>
      </c>
      <c r="G16" s="25" t="n">
        <v>0</v>
      </c>
      <c r="H16" s="33" t="n">
        <v>0</v>
      </c>
      <c r="I16" s="25" t="n">
        <v>0</v>
      </c>
      <c r="J16" s="33" t="n">
        <v>0</v>
      </c>
      <c r="K16" s="25" t="n">
        <v>0</v>
      </c>
      <c r="L16" s="33" t="n">
        <v>0</v>
      </c>
      <c r="M16" s="25" t="n">
        <v>0</v>
      </c>
    </row>
    <row r="17" customFormat="false" ht="15" hidden="false" customHeight="false" outlineLevel="0" collapsed="false">
      <c r="A17" s="27"/>
      <c r="B17" s="28" t="s">
        <v>22</v>
      </c>
      <c r="C17" s="27" t="n">
        <v>0</v>
      </c>
      <c r="D17" s="154" t="n">
        <v>0</v>
      </c>
      <c r="E17" s="27" t="n">
        <v>0</v>
      </c>
      <c r="F17" s="154" t="n">
        <v>0</v>
      </c>
      <c r="G17" s="27" t="n">
        <v>0</v>
      </c>
      <c r="H17" s="154" t="n">
        <v>0</v>
      </c>
      <c r="I17" s="27" t="n">
        <v>0</v>
      </c>
      <c r="J17" s="154" t="n">
        <v>0</v>
      </c>
      <c r="K17" s="27" t="n">
        <v>0</v>
      </c>
      <c r="L17" s="154" t="n">
        <v>0</v>
      </c>
      <c r="M17" s="27" t="n">
        <v>0</v>
      </c>
    </row>
    <row r="18" customFormat="false" ht="15" hidden="false" customHeight="false" outlineLevel="0" collapsed="false">
      <c r="A18" s="24" t="s">
        <v>84</v>
      </c>
      <c r="B18" s="25" t="s">
        <v>31</v>
      </c>
      <c r="C18" s="25" t="n">
        <v>0</v>
      </c>
      <c r="D18" s="33" t="n">
        <v>0</v>
      </c>
      <c r="E18" s="25" t="n">
        <v>0</v>
      </c>
      <c r="F18" s="33" t="n">
        <v>0</v>
      </c>
      <c r="G18" s="25" t="n">
        <v>0</v>
      </c>
      <c r="H18" s="33" t="n">
        <v>0</v>
      </c>
      <c r="I18" s="25" t="n">
        <v>0</v>
      </c>
      <c r="J18" s="33" t="n">
        <v>0</v>
      </c>
      <c r="K18" s="25" t="n">
        <v>0</v>
      </c>
      <c r="L18" s="33" t="n">
        <v>0</v>
      </c>
      <c r="M18" s="25" t="n">
        <v>0</v>
      </c>
    </row>
    <row r="19" customFormat="false" ht="15" hidden="false" customHeight="false" outlineLevel="0" collapsed="false">
      <c r="A19" s="25"/>
      <c r="B19" s="25" t="s">
        <v>32</v>
      </c>
      <c r="C19" s="25" t="n">
        <v>0</v>
      </c>
      <c r="D19" s="33" t="n">
        <v>0</v>
      </c>
      <c r="E19" s="25" t="n">
        <v>0</v>
      </c>
      <c r="F19" s="33" t="n">
        <v>0</v>
      </c>
      <c r="G19" s="25" t="n">
        <v>0</v>
      </c>
      <c r="H19" s="33" t="n">
        <v>0</v>
      </c>
      <c r="I19" s="25" t="n">
        <v>0</v>
      </c>
      <c r="J19" s="33" t="n">
        <v>0</v>
      </c>
      <c r="K19" s="25" t="n">
        <v>0</v>
      </c>
      <c r="L19" s="33" t="n">
        <v>0</v>
      </c>
      <c r="M19" s="25" t="n">
        <v>0</v>
      </c>
    </row>
    <row r="20" customFormat="false" ht="15" hidden="false" customHeight="false" outlineLevel="0" collapsed="false">
      <c r="A20" s="25"/>
      <c r="B20" s="25" t="s">
        <v>33</v>
      </c>
      <c r="C20" s="25" t="n">
        <v>0</v>
      </c>
      <c r="D20" s="33" t="n">
        <v>0</v>
      </c>
      <c r="E20" s="25" t="n">
        <v>0</v>
      </c>
      <c r="F20" s="33" t="n">
        <v>0</v>
      </c>
      <c r="G20" s="25" t="n">
        <v>0</v>
      </c>
      <c r="H20" s="33" t="n">
        <v>0</v>
      </c>
      <c r="I20" s="25" t="n">
        <v>0</v>
      </c>
      <c r="J20" s="33" t="n">
        <v>0</v>
      </c>
      <c r="K20" s="25" t="n">
        <v>0</v>
      </c>
      <c r="L20" s="33" t="n">
        <v>0</v>
      </c>
      <c r="M20" s="25" t="n">
        <v>0</v>
      </c>
    </row>
    <row r="21" customFormat="false" ht="15" hidden="false" customHeight="false" outlineLevel="0" collapsed="false">
      <c r="A21" s="27"/>
      <c r="B21" s="28" t="s">
        <v>22</v>
      </c>
      <c r="C21" s="27" t="n">
        <v>0</v>
      </c>
      <c r="D21" s="154" t="n">
        <v>0</v>
      </c>
      <c r="E21" s="27" t="n">
        <v>0</v>
      </c>
      <c r="F21" s="154" t="n">
        <v>0</v>
      </c>
      <c r="G21" s="27" t="n">
        <v>0</v>
      </c>
      <c r="H21" s="154" t="n">
        <v>0</v>
      </c>
      <c r="I21" s="27" t="n">
        <v>0</v>
      </c>
      <c r="J21" s="154" t="n">
        <v>0</v>
      </c>
      <c r="K21" s="27" t="n">
        <v>0</v>
      </c>
      <c r="L21" s="154" t="n">
        <v>0</v>
      </c>
      <c r="M21" s="27" t="n">
        <v>0</v>
      </c>
    </row>
    <row r="22" customFormat="false" ht="15" hidden="false" customHeight="false" outlineLevel="0" collapsed="false">
      <c r="A22" s="24" t="s">
        <v>85</v>
      </c>
      <c r="B22" s="25" t="s">
        <v>35</v>
      </c>
      <c r="C22" s="25" t="n">
        <v>2</v>
      </c>
      <c r="D22" s="33" t="n">
        <v>0.666666666666667</v>
      </c>
      <c r="E22" s="25" t="n">
        <v>0</v>
      </c>
      <c r="F22" s="33" t="n">
        <v>0</v>
      </c>
      <c r="G22" s="25" t="n">
        <v>0</v>
      </c>
      <c r="H22" s="33" t="n">
        <v>0</v>
      </c>
      <c r="I22" s="25" t="n">
        <v>0</v>
      </c>
      <c r="J22" s="33" t="n">
        <v>0</v>
      </c>
      <c r="K22" s="25" t="n">
        <v>0</v>
      </c>
      <c r="L22" s="33" t="n">
        <v>0</v>
      </c>
      <c r="M22" s="25" t="n">
        <v>2</v>
      </c>
    </row>
    <row r="23" customFormat="false" ht="15" hidden="false" customHeight="false" outlineLevel="0" collapsed="false">
      <c r="A23" s="25"/>
      <c r="B23" s="25" t="s">
        <v>36</v>
      </c>
      <c r="C23" s="25" t="n">
        <v>0</v>
      </c>
      <c r="D23" s="33" t="n">
        <v>0</v>
      </c>
      <c r="E23" s="25" t="n">
        <v>0</v>
      </c>
      <c r="F23" s="33" t="n">
        <v>0</v>
      </c>
      <c r="G23" s="25" t="n">
        <v>0</v>
      </c>
      <c r="H23" s="33" t="n">
        <v>0</v>
      </c>
      <c r="I23" s="25" t="n">
        <v>0</v>
      </c>
      <c r="J23" s="33" t="n">
        <v>0</v>
      </c>
      <c r="K23" s="25" t="n">
        <v>0</v>
      </c>
      <c r="L23" s="33" t="n">
        <v>0</v>
      </c>
      <c r="M23" s="25" t="n">
        <v>0</v>
      </c>
    </row>
    <row r="24" customFormat="false" ht="15" hidden="false" customHeight="false" outlineLevel="0" collapsed="false">
      <c r="A24" s="25"/>
      <c r="B24" s="25" t="s">
        <v>37</v>
      </c>
      <c r="C24" s="25" t="n">
        <v>1</v>
      </c>
      <c r="D24" s="33" t="n">
        <v>0.333333333333333</v>
      </c>
      <c r="E24" s="25" t="n">
        <v>0</v>
      </c>
      <c r="F24" s="33" t="n">
        <v>0</v>
      </c>
      <c r="G24" s="25" t="n">
        <v>0</v>
      </c>
      <c r="H24" s="33" t="n">
        <v>0</v>
      </c>
      <c r="I24" s="25" t="n">
        <v>0</v>
      </c>
      <c r="J24" s="33" t="n">
        <v>0</v>
      </c>
      <c r="K24" s="25" t="n">
        <v>0</v>
      </c>
      <c r="L24" s="33" t="n">
        <v>0</v>
      </c>
      <c r="M24" s="25" t="n">
        <v>1</v>
      </c>
    </row>
    <row r="25" customFormat="false" ht="15" hidden="false" customHeight="false" outlineLevel="0" collapsed="false">
      <c r="A25" s="27"/>
      <c r="B25" s="28" t="s">
        <v>22</v>
      </c>
      <c r="C25" s="27" t="n">
        <v>3</v>
      </c>
      <c r="D25" s="154" t="n">
        <v>1</v>
      </c>
      <c r="E25" s="27" t="n">
        <v>0</v>
      </c>
      <c r="F25" s="154" t="n">
        <v>0</v>
      </c>
      <c r="G25" s="27" t="n">
        <v>0</v>
      </c>
      <c r="H25" s="154" t="n">
        <v>0</v>
      </c>
      <c r="I25" s="27" t="n">
        <v>0</v>
      </c>
      <c r="J25" s="154" t="n">
        <v>0</v>
      </c>
      <c r="K25" s="27" t="n">
        <v>0</v>
      </c>
      <c r="L25" s="154" t="n">
        <v>0</v>
      </c>
      <c r="M25" s="27" t="n">
        <v>3</v>
      </c>
    </row>
    <row r="26" customFormat="false" ht="15" hidden="false" customHeight="false" outlineLevel="0" collapsed="false">
      <c r="A26" s="24" t="s">
        <v>86</v>
      </c>
      <c r="B26" s="25" t="s">
        <v>39</v>
      </c>
      <c r="C26" s="25" t="n">
        <v>0</v>
      </c>
      <c r="D26" s="33" t="n">
        <v>0</v>
      </c>
      <c r="E26" s="25" t="n">
        <v>0</v>
      </c>
      <c r="F26" s="33" t="n">
        <v>0</v>
      </c>
      <c r="G26" s="25" t="n">
        <v>0</v>
      </c>
      <c r="H26" s="33" t="n">
        <v>0</v>
      </c>
      <c r="I26" s="25" t="n">
        <v>0</v>
      </c>
      <c r="J26" s="33" t="n">
        <v>0</v>
      </c>
      <c r="K26" s="25" t="n">
        <v>0</v>
      </c>
      <c r="L26" s="33" t="n">
        <v>0</v>
      </c>
      <c r="M26" s="25" t="n">
        <v>0</v>
      </c>
    </row>
    <row r="27" customFormat="false" ht="15" hidden="false" customHeight="false" outlineLevel="0" collapsed="false">
      <c r="A27" s="25"/>
      <c r="B27" s="25" t="s">
        <v>40</v>
      </c>
      <c r="C27" s="25" t="n">
        <v>0</v>
      </c>
      <c r="D27" s="33" t="n">
        <v>0</v>
      </c>
      <c r="E27" s="25" t="n">
        <v>0</v>
      </c>
      <c r="F27" s="33" t="n">
        <v>0</v>
      </c>
      <c r="G27" s="25" t="n">
        <v>0</v>
      </c>
      <c r="H27" s="33" t="n">
        <v>0</v>
      </c>
      <c r="I27" s="25" t="n">
        <v>0</v>
      </c>
      <c r="J27" s="33" t="n">
        <v>0</v>
      </c>
      <c r="K27" s="25" t="n">
        <v>0</v>
      </c>
      <c r="L27" s="33" t="n">
        <v>0</v>
      </c>
      <c r="M27" s="25" t="n">
        <v>0</v>
      </c>
    </row>
    <row r="28" customFormat="false" ht="15" hidden="false" customHeight="false" outlineLevel="0" collapsed="false">
      <c r="A28" s="25"/>
      <c r="B28" s="25" t="s">
        <v>41</v>
      </c>
      <c r="C28" s="25" t="n">
        <v>2</v>
      </c>
      <c r="D28" s="33" t="n">
        <v>1</v>
      </c>
      <c r="E28" s="25" t="n">
        <v>1</v>
      </c>
      <c r="F28" s="33" t="n">
        <v>0.5</v>
      </c>
      <c r="G28" s="25" t="n">
        <v>2</v>
      </c>
      <c r="H28" s="33" t="n">
        <v>1</v>
      </c>
      <c r="I28" s="25" t="n">
        <v>0</v>
      </c>
      <c r="J28" s="33" t="n">
        <v>0</v>
      </c>
      <c r="K28" s="25" t="n">
        <v>1</v>
      </c>
      <c r="L28" s="33" t="n">
        <v>0.5</v>
      </c>
      <c r="M28" s="25" t="n">
        <v>5</v>
      </c>
    </row>
    <row r="29" customFormat="false" ht="15" hidden="false" customHeight="false" outlineLevel="0" collapsed="false">
      <c r="A29" s="25"/>
      <c r="B29" s="25" t="s">
        <v>42</v>
      </c>
      <c r="C29" s="25" t="n">
        <v>0</v>
      </c>
      <c r="D29" s="33" t="n">
        <v>0</v>
      </c>
      <c r="E29" s="25" t="n">
        <v>0</v>
      </c>
      <c r="F29" s="33" t="n">
        <v>0</v>
      </c>
      <c r="G29" s="25" t="n">
        <v>0</v>
      </c>
      <c r="H29" s="33" t="n">
        <v>0</v>
      </c>
      <c r="I29" s="25" t="n">
        <v>0</v>
      </c>
      <c r="J29" s="33" t="n">
        <v>0</v>
      </c>
      <c r="K29" s="25" t="n">
        <v>0</v>
      </c>
      <c r="L29" s="33" t="n">
        <v>0</v>
      </c>
      <c r="M29" s="25" t="n">
        <v>0</v>
      </c>
    </row>
    <row r="30" customFormat="false" ht="15" hidden="false" customHeight="false" outlineLevel="0" collapsed="false">
      <c r="A30" s="27"/>
      <c r="B30" s="28" t="s">
        <v>22</v>
      </c>
      <c r="C30" s="27" t="n">
        <v>2</v>
      </c>
      <c r="D30" s="154" t="n">
        <v>0.333333333333333</v>
      </c>
      <c r="E30" s="27" t="n">
        <v>1</v>
      </c>
      <c r="F30" s="154" t="n">
        <v>0.166666666666667</v>
      </c>
      <c r="G30" s="27" t="n">
        <v>2</v>
      </c>
      <c r="H30" s="154" t="n">
        <v>0.333333333333333</v>
      </c>
      <c r="I30" s="27" t="n">
        <v>0</v>
      </c>
      <c r="J30" s="154" t="n">
        <v>0</v>
      </c>
      <c r="K30" s="27" t="n">
        <v>1</v>
      </c>
      <c r="L30" s="154" t="n">
        <v>0.166666666666667</v>
      </c>
      <c r="M30" s="27" t="n">
        <v>6</v>
      </c>
    </row>
    <row r="31" customFormat="false" ht="15" hidden="false" customHeight="false" outlineLevel="0" collapsed="false">
      <c r="A31" s="24" t="s">
        <v>87</v>
      </c>
      <c r="B31" s="25" t="s">
        <v>44</v>
      </c>
      <c r="C31" s="25" t="n">
        <v>0</v>
      </c>
      <c r="D31" s="33" t="n">
        <v>0</v>
      </c>
      <c r="E31" s="25" t="n">
        <v>0</v>
      </c>
      <c r="F31" s="33" t="n">
        <v>0</v>
      </c>
      <c r="G31" s="25" t="n">
        <v>0</v>
      </c>
      <c r="H31" s="33" t="n">
        <v>0</v>
      </c>
      <c r="I31" s="25" t="n">
        <v>0</v>
      </c>
      <c r="J31" s="33" t="n">
        <v>0</v>
      </c>
      <c r="K31" s="25" t="n">
        <v>0</v>
      </c>
      <c r="L31" s="33" t="n">
        <v>0</v>
      </c>
      <c r="M31" s="25" t="n">
        <v>0</v>
      </c>
    </row>
    <row r="32" customFormat="false" ht="15" hidden="false" customHeight="false" outlineLevel="0" collapsed="false">
      <c r="A32" s="25"/>
      <c r="B32" s="25" t="s">
        <v>45</v>
      </c>
      <c r="C32" s="25" t="n">
        <v>0</v>
      </c>
      <c r="D32" s="33" t="n">
        <v>0</v>
      </c>
      <c r="E32" s="25" t="n">
        <v>0</v>
      </c>
      <c r="F32" s="33" t="n">
        <v>0</v>
      </c>
      <c r="G32" s="25" t="n">
        <v>0</v>
      </c>
      <c r="H32" s="33" t="n">
        <v>0</v>
      </c>
      <c r="I32" s="25" t="n">
        <v>0</v>
      </c>
      <c r="J32" s="33" t="n">
        <v>0</v>
      </c>
      <c r="K32" s="25" t="n">
        <v>0</v>
      </c>
      <c r="L32" s="33" t="n">
        <v>0</v>
      </c>
      <c r="M32" s="25" t="n">
        <v>0</v>
      </c>
    </row>
    <row r="33" customFormat="false" ht="15" hidden="false" customHeight="false" outlineLevel="0" collapsed="false">
      <c r="A33" s="25"/>
      <c r="B33" s="25" t="s">
        <v>46</v>
      </c>
      <c r="C33" s="25" t="n">
        <v>3</v>
      </c>
      <c r="D33" s="33" t="n">
        <v>1</v>
      </c>
      <c r="E33" s="25" t="n">
        <v>9</v>
      </c>
      <c r="F33" s="33" t="n">
        <v>3</v>
      </c>
      <c r="G33" s="25" t="n">
        <v>3</v>
      </c>
      <c r="H33" s="33" t="n">
        <v>1</v>
      </c>
      <c r="I33" s="25" t="n">
        <v>0</v>
      </c>
      <c r="J33" s="33" t="n">
        <v>0</v>
      </c>
      <c r="K33" s="25" t="n">
        <v>0</v>
      </c>
      <c r="L33" s="33" t="n">
        <v>0</v>
      </c>
      <c r="M33" s="25" t="n">
        <v>6</v>
      </c>
    </row>
    <row r="34" customFormat="false" ht="15" hidden="false" customHeight="false" outlineLevel="0" collapsed="false">
      <c r="A34" s="27"/>
      <c r="B34" s="28" t="s">
        <v>22</v>
      </c>
      <c r="C34" s="27" t="n">
        <v>3</v>
      </c>
      <c r="D34" s="154" t="n">
        <v>0.2</v>
      </c>
      <c r="E34" s="27" t="n">
        <v>9</v>
      </c>
      <c r="F34" s="154" t="n">
        <v>0.6</v>
      </c>
      <c r="G34" s="27" t="n">
        <v>3</v>
      </c>
      <c r="H34" s="154" t="n">
        <v>0.2</v>
      </c>
      <c r="I34" s="27" t="n">
        <v>0</v>
      </c>
      <c r="J34" s="154" t="n">
        <v>0</v>
      </c>
      <c r="K34" s="27" t="n">
        <v>0</v>
      </c>
      <c r="L34" s="154" t="n">
        <v>0</v>
      </c>
      <c r="M34" s="27" t="n">
        <v>15</v>
      </c>
    </row>
    <row r="35" customFormat="false" ht="15" hidden="false" customHeight="false" outlineLevel="0" collapsed="false">
      <c r="A35" s="24" t="s">
        <v>90</v>
      </c>
      <c r="B35" s="25" t="s">
        <v>91</v>
      </c>
      <c r="C35" s="25" t="n">
        <v>0</v>
      </c>
      <c r="D35" s="33" t="n">
        <v>0</v>
      </c>
      <c r="E35" s="25" t="n">
        <v>0</v>
      </c>
      <c r="F35" s="33" t="n">
        <v>0</v>
      </c>
      <c r="G35" s="25" t="n">
        <v>0</v>
      </c>
      <c r="H35" s="33" t="n">
        <v>0</v>
      </c>
      <c r="I35" s="25" t="n">
        <v>0</v>
      </c>
      <c r="J35" s="33" t="n">
        <v>0</v>
      </c>
      <c r="K35" s="25" t="n">
        <v>0</v>
      </c>
      <c r="L35" s="33" t="n">
        <v>0</v>
      </c>
      <c r="M35" s="25" t="n">
        <v>0</v>
      </c>
    </row>
    <row r="36" customFormat="false" ht="15" hidden="false" customHeight="false" outlineLevel="0" collapsed="false">
      <c r="A36" s="25"/>
      <c r="B36" s="25" t="s">
        <v>92</v>
      </c>
      <c r="C36" s="25" t="n">
        <v>3</v>
      </c>
      <c r="D36" s="33" t="n">
        <v>0.25</v>
      </c>
      <c r="E36" s="25" t="n">
        <v>1</v>
      </c>
      <c r="F36" s="33" t="n">
        <v>0.0833333333333333</v>
      </c>
      <c r="G36" s="25" t="n">
        <v>1</v>
      </c>
      <c r="H36" s="33" t="n">
        <v>0.0833333333333333</v>
      </c>
      <c r="I36" s="25" t="n">
        <v>0</v>
      </c>
      <c r="J36" s="33" t="n">
        <v>0</v>
      </c>
      <c r="K36" s="25" t="n">
        <v>0</v>
      </c>
      <c r="L36" s="33" t="n">
        <v>0</v>
      </c>
      <c r="M36" s="25" t="n">
        <v>4</v>
      </c>
    </row>
    <row r="37" customFormat="false" ht="15" hidden="false" customHeight="false" outlineLevel="0" collapsed="false">
      <c r="A37" s="25"/>
      <c r="B37" s="25" t="s">
        <v>93</v>
      </c>
      <c r="C37" s="25" t="n">
        <v>0</v>
      </c>
      <c r="D37" s="33" t="n">
        <v>0</v>
      </c>
      <c r="E37" s="25" t="n">
        <v>0</v>
      </c>
      <c r="F37" s="33" t="n">
        <v>0</v>
      </c>
      <c r="G37" s="25" t="n">
        <v>0</v>
      </c>
      <c r="H37" s="33" t="n">
        <v>0</v>
      </c>
      <c r="I37" s="25" t="n">
        <v>0</v>
      </c>
      <c r="J37" s="33" t="n">
        <v>0</v>
      </c>
      <c r="K37" s="25" t="n">
        <v>0</v>
      </c>
      <c r="L37" s="33" t="n">
        <v>0</v>
      </c>
      <c r="M37" s="25" t="n">
        <v>0</v>
      </c>
    </row>
    <row r="38" customFormat="false" ht="15" hidden="false" customHeight="false" outlineLevel="0" collapsed="false">
      <c r="A38" s="25"/>
      <c r="B38" s="25" t="s">
        <v>94</v>
      </c>
      <c r="C38" s="25" t="n">
        <v>2</v>
      </c>
      <c r="D38" s="33" t="n">
        <v>0.166666666666667</v>
      </c>
      <c r="E38" s="25" t="n">
        <v>1</v>
      </c>
      <c r="F38" s="33" t="n">
        <v>0.0833333333333333</v>
      </c>
      <c r="G38" s="25" t="n">
        <v>1</v>
      </c>
      <c r="H38" s="33" t="n">
        <v>0.0833333333333333</v>
      </c>
      <c r="I38" s="25" t="n">
        <v>0</v>
      </c>
      <c r="J38" s="33" t="n">
        <v>0</v>
      </c>
      <c r="K38" s="25" t="n">
        <v>0</v>
      </c>
      <c r="L38" s="33" t="n">
        <v>0</v>
      </c>
      <c r="M38" s="25" t="n">
        <v>3</v>
      </c>
    </row>
    <row r="39" customFormat="false" ht="15" hidden="false" customHeight="false" outlineLevel="0" collapsed="false">
      <c r="A39" s="25"/>
      <c r="B39" s="25" t="s">
        <v>95</v>
      </c>
      <c r="C39" s="25" t="n">
        <v>1</v>
      </c>
      <c r="D39" s="33" t="n">
        <v>0.0833333333333333</v>
      </c>
      <c r="E39" s="25" t="n">
        <v>3</v>
      </c>
      <c r="F39" s="33" t="n">
        <v>0.25</v>
      </c>
      <c r="G39" s="25" t="n">
        <v>2</v>
      </c>
      <c r="H39" s="33" t="n">
        <v>0.166666666666667</v>
      </c>
      <c r="I39" s="25" t="n">
        <v>0</v>
      </c>
      <c r="J39" s="33" t="n">
        <v>0</v>
      </c>
      <c r="K39" s="25" t="n">
        <v>0</v>
      </c>
      <c r="L39" s="33" t="n">
        <v>0</v>
      </c>
      <c r="M39" s="25" t="n">
        <v>3</v>
      </c>
    </row>
    <row r="40" customFormat="false" ht="15" hidden="false" customHeight="false" outlineLevel="0" collapsed="false">
      <c r="A40" s="25"/>
      <c r="B40" s="25" t="s">
        <v>96</v>
      </c>
      <c r="C40" s="25" t="n">
        <v>5</v>
      </c>
      <c r="D40" s="33" t="n">
        <v>0.416666666666667</v>
      </c>
      <c r="E40" s="25" t="n">
        <v>1</v>
      </c>
      <c r="F40" s="33" t="n">
        <v>0.0833333333333333</v>
      </c>
      <c r="G40" s="25" t="n">
        <v>2</v>
      </c>
      <c r="H40" s="33" t="n">
        <v>0.166666666666667</v>
      </c>
      <c r="I40" s="25" t="n">
        <v>0</v>
      </c>
      <c r="J40" s="33" t="n">
        <v>0</v>
      </c>
      <c r="K40" s="25" t="n">
        <v>0</v>
      </c>
      <c r="L40" s="33" t="n">
        <v>0</v>
      </c>
      <c r="M40" s="25" t="n">
        <v>7</v>
      </c>
    </row>
    <row r="41" customFormat="false" ht="15" hidden="false" customHeight="false" outlineLevel="0" collapsed="false">
      <c r="A41" s="25"/>
      <c r="B41" s="25" t="s">
        <v>97</v>
      </c>
      <c r="C41" s="25" t="n">
        <v>0</v>
      </c>
      <c r="D41" s="33" t="n">
        <v>0</v>
      </c>
      <c r="E41" s="25" t="n">
        <v>0</v>
      </c>
      <c r="F41" s="33" t="n">
        <v>0</v>
      </c>
      <c r="G41" s="25" t="n">
        <v>0</v>
      </c>
      <c r="H41" s="33" t="n">
        <v>0</v>
      </c>
      <c r="I41" s="25" t="n">
        <v>0</v>
      </c>
      <c r="J41" s="33" t="n">
        <v>0</v>
      </c>
      <c r="K41" s="25" t="n">
        <v>0</v>
      </c>
      <c r="L41" s="33" t="n">
        <v>0</v>
      </c>
      <c r="M41" s="25" t="n">
        <v>0</v>
      </c>
    </row>
    <row r="42" customFormat="false" ht="15" hidden="false" customHeight="false" outlineLevel="0" collapsed="false">
      <c r="A42" s="25"/>
      <c r="B42" s="25" t="s">
        <v>98</v>
      </c>
      <c r="C42" s="25" t="n">
        <v>0</v>
      </c>
      <c r="D42" s="33" t="n">
        <v>0</v>
      </c>
      <c r="E42" s="25" t="n">
        <v>0</v>
      </c>
      <c r="F42" s="33" t="n">
        <v>0</v>
      </c>
      <c r="G42" s="25" t="n">
        <v>0</v>
      </c>
      <c r="H42" s="33" t="n">
        <v>0</v>
      </c>
      <c r="I42" s="25" t="n">
        <v>0</v>
      </c>
      <c r="J42" s="33" t="n">
        <v>0</v>
      </c>
      <c r="K42" s="25" t="n">
        <v>0</v>
      </c>
      <c r="L42" s="33" t="n">
        <v>0</v>
      </c>
      <c r="M42" s="25" t="n">
        <v>0</v>
      </c>
    </row>
    <row r="43" customFormat="false" ht="15" hidden="false" customHeight="false" outlineLevel="0" collapsed="false">
      <c r="A43" s="25"/>
      <c r="B43" s="25" t="s">
        <v>99</v>
      </c>
      <c r="C43" s="25" t="n">
        <v>1</v>
      </c>
      <c r="D43" s="33" t="n">
        <v>0.0833333333333333</v>
      </c>
      <c r="E43" s="25" t="n">
        <v>0</v>
      </c>
      <c r="F43" s="33" t="n">
        <v>0</v>
      </c>
      <c r="G43" s="25" t="n">
        <v>1</v>
      </c>
      <c r="H43" s="33" t="n">
        <v>0.0833333333333333</v>
      </c>
      <c r="I43" s="25" t="n">
        <v>0</v>
      </c>
      <c r="J43" s="33" t="n">
        <v>0</v>
      </c>
      <c r="K43" s="25" t="n">
        <v>0</v>
      </c>
      <c r="L43" s="33" t="n">
        <v>0</v>
      </c>
      <c r="M43" s="25" t="n">
        <v>2</v>
      </c>
    </row>
    <row r="44" customFormat="false" ht="15" hidden="false" customHeight="false" outlineLevel="0" collapsed="false">
      <c r="A44" s="27"/>
      <c r="B44" s="28" t="s">
        <v>22</v>
      </c>
      <c r="C44" s="27" t="n">
        <v>12</v>
      </c>
      <c r="D44" s="154" t="n">
        <v>0.48</v>
      </c>
      <c r="E44" s="27" t="n">
        <v>6</v>
      </c>
      <c r="F44" s="154" t="n">
        <v>0.24</v>
      </c>
      <c r="G44" s="27" t="n">
        <v>7</v>
      </c>
      <c r="H44" s="154" t="n">
        <v>0.28</v>
      </c>
      <c r="I44" s="27" t="n">
        <v>0</v>
      </c>
      <c r="J44" s="154" t="n">
        <v>0</v>
      </c>
      <c r="K44" s="27" t="n">
        <v>0</v>
      </c>
      <c r="L44" s="154" t="n">
        <v>0</v>
      </c>
      <c r="M44" s="27" t="n">
        <v>25</v>
      </c>
    </row>
    <row r="45" customFormat="false" ht="15" hidden="false" customHeight="false" outlineLevel="0" collapsed="false">
      <c r="A45" s="24" t="s">
        <v>100</v>
      </c>
      <c r="B45" s="25" t="s">
        <v>101</v>
      </c>
      <c r="C45" s="25" t="n">
        <v>4</v>
      </c>
      <c r="D45" s="33" t="n">
        <v>0.363636363636364</v>
      </c>
      <c r="E45" s="25" t="n">
        <v>1</v>
      </c>
      <c r="F45" s="33" t="n">
        <v>0.0833333333333333</v>
      </c>
      <c r="G45" s="25" t="n">
        <v>2</v>
      </c>
      <c r="H45" s="33" t="n">
        <v>0.153846153846154</v>
      </c>
      <c r="I45" s="25" t="n">
        <v>0</v>
      </c>
      <c r="J45" s="33" t="n">
        <v>0</v>
      </c>
      <c r="K45" s="25" t="n">
        <v>0</v>
      </c>
      <c r="L45" s="33" t="n">
        <v>0</v>
      </c>
      <c r="M45" s="25" t="n">
        <v>6</v>
      </c>
    </row>
    <row r="46" customFormat="false" ht="15" hidden="false" customHeight="false" outlineLevel="0" collapsed="false">
      <c r="A46" s="25"/>
      <c r="B46" s="25" t="s">
        <v>102</v>
      </c>
      <c r="C46" s="25" t="n">
        <v>0</v>
      </c>
      <c r="D46" s="33" t="n">
        <v>0</v>
      </c>
      <c r="E46" s="25" t="n">
        <v>0</v>
      </c>
      <c r="F46" s="33" t="n">
        <v>0</v>
      </c>
      <c r="G46" s="25" t="n">
        <v>0</v>
      </c>
      <c r="H46" s="33" t="n">
        <v>0</v>
      </c>
      <c r="I46" s="25" t="n">
        <v>0</v>
      </c>
      <c r="J46" s="33" t="n">
        <v>0</v>
      </c>
      <c r="K46" s="25" t="n">
        <v>0</v>
      </c>
      <c r="L46" s="33" t="n">
        <v>0</v>
      </c>
      <c r="M46" s="25" t="n">
        <v>0</v>
      </c>
    </row>
    <row r="47" customFormat="false" ht="15" hidden="false" customHeight="false" outlineLevel="0" collapsed="false">
      <c r="A47" s="25"/>
      <c r="B47" s="25" t="s">
        <v>103</v>
      </c>
      <c r="C47" s="25" t="n">
        <v>0</v>
      </c>
      <c r="D47" s="33" t="n">
        <v>0</v>
      </c>
      <c r="E47" s="25" t="n">
        <v>0</v>
      </c>
      <c r="F47" s="33" t="n">
        <v>0</v>
      </c>
      <c r="G47" s="25" t="n">
        <v>0</v>
      </c>
      <c r="H47" s="33" t="n">
        <v>0</v>
      </c>
      <c r="I47" s="25" t="n">
        <v>0</v>
      </c>
      <c r="J47" s="33" t="n">
        <v>0</v>
      </c>
      <c r="K47" s="25" t="n">
        <v>0</v>
      </c>
      <c r="L47" s="33" t="n">
        <v>0</v>
      </c>
      <c r="M47" s="25" t="n">
        <v>0</v>
      </c>
    </row>
    <row r="48" customFormat="false" ht="15" hidden="false" customHeight="false" outlineLevel="0" collapsed="false">
      <c r="A48" s="25"/>
      <c r="B48" s="25" t="s">
        <v>104</v>
      </c>
      <c r="C48" s="25" t="n">
        <v>0</v>
      </c>
      <c r="D48" s="33" t="n">
        <v>0</v>
      </c>
      <c r="E48" s="25" t="n">
        <v>0</v>
      </c>
      <c r="F48" s="33" t="n">
        <v>0</v>
      </c>
      <c r="G48" s="25" t="n">
        <v>0</v>
      </c>
      <c r="H48" s="33" t="n">
        <v>0</v>
      </c>
      <c r="I48" s="25" t="n">
        <v>0</v>
      </c>
      <c r="J48" s="33" t="n">
        <v>0</v>
      </c>
      <c r="K48" s="25" t="n">
        <v>0</v>
      </c>
      <c r="L48" s="33" t="n">
        <v>0</v>
      </c>
      <c r="M48" s="25" t="n">
        <v>0</v>
      </c>
    </row>
    <row r="49" customFormat="false" ht="15" hidden="false" customHeight="false" outlineLevel="0" collapsed="false">
      <c r="A49" s="25"/>
      <c r="B49" s="25" t="s">
        <v>105</v>
      </c>
      <c r="C49" s="25" t="n">
        <v>0</v>
      </c>
      <c r="D49" s="33" t="n">
        <v>0</v>
      </c>
      <c r="E49" s="25" t="n">
        <v>0</v>
      </c>
      <c r="F49" s="33" t="n">
        <v>0</v>
      </c>
      <c r="G49" s="25" t="n">
        <v>0</v>
      </c>
      <c r="H49" s="33" t="n">
        <v>0</v>
      </c>
      <c r="I49" s="25" t="n">
        <v>0</v>
      </c>
      <c r="J49" s="33" t="n">
        <v>0</v>
      </c>
      <c r="K49" s="25" t="n">
        <v>0</v>
      </c>
      <c r="L49" s="33" t="n">
        <v>0</v>
      </c>
      <c r="M49" s="25" t="n">
        <v>0</v>
      </c>
    </row>
    <row r="50" customFormat="false" ht="15" hidden="false" customHeight="false" outlineLevel="0" collapsed="false">
      <c r="A50" s="25"/>
      <c r="B50" s="25" t="s">
        <v>106</v>
      </c>
      <c r="C50" s="25" t="n">
        <v>0</v>
      </c>
      <c r="D50" s="33" t="n">
        <v>0</v>
      </c>
      <c r="E50" s="25" t="n">
        <v>0</v>
      </c>
      <c r="F50" s="33" t="n">
        <v>0</v>
      </c>
      <c r="G50" s="25" t="n">
        <v>0</v>
      </c>
      <c r="H50" s="33" t="n">
        <v>0</v>
      </c>
      <c r="I50" s="25" t="n">
        <v>0</v>
      </c>
      <c r="J50" s="33" t="n">
        <v>0</v>
      </c>
      <c r="K50" s="25" t="n">
        <v>0</v>
      </c>
      <c r="L50" s="33" t="n">
        <v>0</v>
      </c>
      <c r="M50" s="25" t="n">
        <v>0</v>
      </c>
    </row>
    <row r="51" customFormat="false" ht="15" hidden="false" customHeight="false" outlineLevel="0" collapsed="false">
      <c r="A51" s="25"/>
      <c r="B51" s="25" t="s">
        <v>107</v>
      </c>
      <c r="C51" s="25" t="n">
        <v>0</v>
      </c>
      <c r="D51" s="33" t="n">
        <v>0</v>
      </c>
      <c r="E51" s="25" t="n">
        <v>0</v>
      </c>
      <c r="F51" s="33" t="n">
        <v>0</v>
      </c>
      <c r="G51" s="25" t="n">
        <v>0</v>
      </c>
      <c r="H51" s="33" t="n">
        <v>0</v>
      </c>
      <c r="I51" s="25" t="n">
        <v>0</v>
      </c>
      <c r="J51" s="33" t="n">
        <v>0</v>
      </c>
      <c r="K51" s="25" t="n">
        <v>0</v>
      </c>
      <c r="L51" s="33" t="n">
        <v>0</v>
      </c>
      <c r="M51" s="25" t="n">
        <v>0</v>
      </c>
    </row>
    <row r="52" customFormat="false" ht="15" hidden="false" customHeight="false" outlineLevel="0" collapsed="false">
      <c r="A52" s="25"/>
      <c r="B52" s="25" t="s">
        <v>108</v>
      </c>
      <c r="C52" s="25" t="n">
        <v>1</v>
      </c>
      <c r="D52" s="33" t="n">
        <v>0.0909090909090909</v>
      </c>
      <c r="E52" s="25" t="n">
        <v>0</v>
      </c>
      <c r="F52" s="33" t="n">
        <v>0</v>
      </c>
      <c r="G52" s="25" t="n">
        <v>0</v>
      </c>
      <c r="H52" s="33" t="n">
        <v>0</v>
      </c>
      <c r="I52" s="25" t="n">
        <v>0</v>
      </c>
      <c r="J52" s="33" t="n">
        <v>0</v>
      </c>
      <c r="K52" s="25" t="n">
        <v>0</v>
      </c>
      <c r="L52" s="33" t="n">
        <v>0</v>
      </c>
      <c r="M52" s="25" t="n">
        <v>1</v>
      </c>
    </row>
    <row r="53" customFormat="false" ht="15" hidden="false" customHeight="false" outlineLevel="0" collapsed="false">
      <c r="A53" s="25"/>
      <c r="B53" s="25" t="s">
        <v>109</v>
      </c>
      <c r="C53" s="25" t="n">
        <v>6</v>
      </c>
      <c r="D53" s="33" t="n">
        <v>0.545454545454546</v>
      </c>
      <c r="E53" s="25" t="n">
        <v>4</v>
      </c>
      <c r="F53" s="33" t="n">
        <v>0.333333333333333</v>
      </c>
      <c r="G53" s="25" t="n">
        <v>4</v>
      </c>
      <c r="H53" s="33" t="n">
        <v>0.307692307692308</v>
      </c>
      <c r="I53" s="25" t="n">
        <v>0</v>
      </c>
      <c r="J53" s="33" t="n">
        <v>0</v>
      </c>
      <c r="K53" s="25" t="n">
        <v>0</v>
      </c>
      <c r="L53" s="33" t="n">
        <v>0</v>
      </c>
      <c r="M53" s="25" t="n">
        <v>10</v>
      </c>
    </row>
    <row r="54" customFormat="false" ht="15" hidden="false" customHeight="false" outlineLevel="0" collapsed="false">
      <c r="A54" s="25"/>
      <c r="B54" s="25" t="s">
        <v>110</v>
      </c>
      <c r="C54" s="25" t="n">
        <v>2</v>
      </c>
      <c r="D54" s="33" t="n">
        <v>0.181818181818182</v>
      </c>
      <c r="E54" s="25" t="n">
        <v>0</v>
      </c>
      <c r="F54" s="33" t="n">
        <v>0</v>
      </c>
      <c r="G54" s="25" t="n">
        <v>1</v>
      </c>
      <c r="H54" s="33" t="n">
        <v>0.0769230769230769</v>
      </c>
      <c r="I54" s="25" t="n">
        <v>0</v>
      </c>
      <c r="J54" s="33" t="n">
        <v>0</v>
      </c>
      <c r="K54" s="25" t="n">
        <v>0</v>
      </c>
      <c r="L54" s="33" t="n">
        <v>0</v>
      </c>
      <c r="M54" s="25" t="n">
        <v>3</v>
      </c>
    </row>
    <row r="55" customFormat="false" ht="15" hidden="false" customHeight="false" outlineLevel="0" collapsed="false">
      <c r="A55" s="25"/>
      <c r="B55" s="25" t="s">
        <v>111</v>
      </c>
      <c r="C55" s="25" t="n">
        <v>0</v>
      </c>
      <c r="D55" s="33" t="n">
        <v>0</v>
      </c>
      <c r="E55" s="25" t="n">
        <v>0</v>
      </c>
      <c r="F55" s="33" t="n">
        <v>0</v>
      </c>
      <c r="G55" s="25" t="n">
        <v>0</v>
      </c>
      <c r="H55" s="33" t="n">
        <v>0</v>
      </c>
      <c r="I55" s="25" t="n">
        <v>0</v>
      </c>
      <c r="J55" s="33" t="n">
        <v>0</v>
      </c>
      <c r="K55" s="25" t="n">
        <v>0</v>
      </c>
      <c r="L55" s="33" t="n">
        <v>0</v>
      </c>
      <c r="M55" s="25" t="n">
        <v>0</v>
      </c>
    </row>
    <row r="56" customFormat="false" ht="15" hidden="false" customHeight="false" outlineLevel="0" collapsed="false">
      <c r="A56" s="25"/>
      <c r="B56" s="25" t="s">
        <v>112</v>
      </c>
      <c r="C56" s="25" t="n">
        <v>0</v>
      </c>
      <c r="D56" s="33" t="n">
        <v>0</v>
      </c>
      <c r="E56" s="25" t="n">
        <v>0</v>
      </c>
      <c r="F56" s="33" t="n">
        <v>0</v>
      </c>
      <c r="G56" s="25" t="n">
        <v>0</v>
      </c>
      <c r="H56" s="33" t="n">
        <v>0</v>
      </c>
      <c r="I56" s="25" t="n">
        <v>0</v>
      </c>
      <c r="J56" s="33" t="n">
        <v>0</v>
      </c>
      <c r="K56" s="25" t="n">
        <v>0</v>
      </c>
      <c r="L56" s="33" t="n">
        <v>0</v>
      </c>
      <c r="M56" s="25" t="n">
        <v>0</v>
      </c>
    </row>
    <row r="57" customFormat="false" ht="15" hidden="false" customHeight="false" outlineLevel="0" collapsed="false">
      <c r="A57" s="25"/>
      <c r="B57" s="25" t="s">
        <v>113</v>
      </c>
      <c r="C57" s="25" t="n">
        <v>0</v>
      </c>
      <c r="D57" s="33" t="n">
        <v>0</v>
      </c>
      <c r="E57" s="25" t="n">
        <v>0</v>
      </c>
      <c r="F57" s="33" t="n">
        <v>0</v>
      </c>
      <c r="G57" s="25" t="n">
        <v>0</v>
      </c>
      <c r="H57" s="33" t="n">
        <v>0</v>
      </c>
      <c r="I57" s="25" t="n">
        <v>0</v>
      </c>
      <c r="J57" s="33" t="n">
        <v>0</v>
      </c>
      <c r="K57" s="25" t="n">
        <v>0</v>
      </c>
      <c r="L57" s="33" t="n">
        <v>0</v>
      </c>
      <c r="M57" s="25" t="n">
        <v>0</v>
      </c>
    </row>
    <row r="58" customFormat="false" ht="15" hidden="false" customHeight="false" outlineLevel="0" collapsed="false">
      <c r="A58" s="25"/>
      <c r="B58" s="25" t="s">
        <v>114</v>
      </c>
      <c r="C58" s="25" t="n">
        <v>0</v>
      </c>
      <c r="D58" s="33" t="n">
        <v>0</v>
      </c>
      <c r="E58" s="25" t="n">
        <v>0</v>
      </c>
      <c r="F58" s="33" t="n">
        <v>0</v>
      </c>
      <c r="G58" s="25" t="n">
        <v>0</v>
      </c>
      <c r="H58" s="33" t="n">
        <v>0</v>
      </c>
      <c r="I58" s="25" t="n">
        <v>0</v>
      </c>
      <c r="J58" s="33" t="n">
        <v>0</v>
      </c>
      <c r="K58" s="25" t="n">
        <v>0</v>
      </c>
      <c r="L58" s="33" t="n">
        <v>0</v>
      </c>
      <c r="M58" s="25" t="n">
        <v>0</v>
      </c>
    </row>
    <row r="59" customFormat="false" ht="15" hidden="false" customHeight="false" outlineLevel="0" collapsed="false">
      <c r="A59" s="25"/>
      <c r="B59" s="25" t="s">
        <v>115</v>
      </c>
      <c r="C59" s="25" t="n">
        <v>3</v>
      </c>
      <c r="D59" s="33" t="n">
        <v>0.272727272727273</v>
      </c>
      <c r="E59" s="25" t="n">
        <v>1</v>
      </c>
      <c r="F59" s="33" t="n">
        <v>0.0833333333333333</v>
      </c>
      <c r="G59" s="25" t="n">
        <v>1</v>
      </c>
      <c r="H59" s="33" t="n">
        <v>0.0769230769230769</v>
      </c>
      <c r="I59" s="25" t="n">
        <v>0</v>
      </c>
      <c r="J59" s="33" t="n">
        <v>0</v>
      </c>
      <c r="K59" s="25" t="n">
        <v>0</v>
      </c>
      <c r="L59" s="33" t="n">
        <v>0</v>
      </c>
      <c r="M59" s="25" t="n">
        <v>4</v>
      </c>
    </row>
    <row r="60" customFormat="false" ht="15" hidden="false" customHeight="false" outlineLevel="0" collapsed="false">
      <c r="A60" s="25"/>
      <c r="B60" s="25" t="s">
        <v>116</v>
      </c>
      <c r="C60" s="25" t="n">
        <v>0</v>
      </c>
      <c r="D60" s="33" t="n">
        <v>0</v>
      </c>
      <c r="E60" s="25" t="n">
        <v>0</v>
      </c>
      <c r="F60" s="33" t="n">
        <v>0</v>
      </c>
      <c r="G60" s="25" t="n">
        <v>0</v>
      </c>
      <c r="H60" s="33" t="n">
        <v>0</v>
      </c>
      <c r="I60" s="25" t="n">
        <v>0</v>
      </c>
      <c r="J60" s="33" t="n">
        <v>0</v>
      </c>
      <c r="K60" s="25" t="n">
        <v>0</v>
      </c>
      <c r="L60" s="33" t="n">
        <v>0</v>
      </c>
      <c r="M60" s="25" t="n">
        <v>0</v>
      </c>
    </row>
    <row r="61" customFormat="false" ht="15" hidden="false" customHeight="false" outlineLevel="0" collapsed="false">
      <c r="A61" s="27"/>
      <c r="B61" s="28" t="s">
        <v>22</v>
      </c>
      <c r="C61" s="104" t="n">
        <v>16</v>
      </c>
      <c r="D61" s="154" t="n">
        <v>0.533333333333333</v>
      </c>
      <c r="E61" s="104" t="n">
        <v>6</v>
      </c>
      <c r="F61" s="154" t="n">
        <v>0.2</v>
      </c>
      <c r="G61" s="104" t="n">
        <v>8</v>
      </c>
      <c r="H61" s="154" t="n">
        <v>0.266666666666667</v>
      </c>
      <c r="I61" s="104" t="n">
        <v>0</v>
      </c>
      <c r="J61" s="154" t="n">
        <v>0</v>
      </c>
      <c r="K61" s="104" t="n">
        <v>0</v>
      </c>
      <c r="L61" s="154" t="n">
        <v>0</v>
      </c>
      <c r="M61" s="104" t="n">
        <v>30</v>
      </c>
    </row>
    <row r="62" customFormat="false" ht="15" hidden="false" customHeight="false" outlineLevel="0" collapsed="false">
      <c r="A62" s="30"/>
      <c r="B62" s="30" t="s">
        <v>74</v>
      </c>
      <c r="C62" s="26" t="n">
        <v>37</v>
      </c>
      <c r="D62" s="165" t="n">
        <v>0.45679012345679</v>
      </c>
      <c r="E62" s="26" t="n">
        <v>22</v>
      </c>
      <c r="F62" s="165" t="n">
        <v>0.271604938271605</v>
      </c>
      <c r="G62" s="26" t="n">
        <v>20</v>
      </c>
      <c r="H62" s="165" t="n">
        <v>0.246913580246914</v>
      </c>
      <c r="I62" s="26" t="n">
        <v>1</v>
      </c>
      <c r="J62" s="165" t="n">
        <v>0.0123456790123457</v>
      </c>
      <c r="K62" s="26" t="n">
        <v>1</v>
      </c>
      <c r="L62" s="165" t="n">
        <v>0.0123456790123457</v>
      </c>
      <c r="M62" s="26" t="n">
        <v>81</v>
      </c>
    </row>
    <row r="63" customFormat="false" ht="15" hidden="false" customHeight="false" outlineLevel="0" collapsed="false">
      <c r="A63" s="34" t="s">
        <v>118</v>
      </c>
    </row>
  </sheetData>
  <mergeCells count="7">
    <mergeCell ref="A1:M1"/>
    <mergeCell ref="C2:L2"/>
    <mergeCell ref="C3:D4"/>
    <mergeCell ref="E3:F4"/>
    <mergeCell ref="G3:H4"/>
    <mergeCell ref="I3:J4"/>
    <mergeCell ref="K3:L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RowHeight="15" outlineLevelRow="0" outlineLevelCol="0"/>
  <cols>
    <col collapsed="false" customWidth="true" hidden="false" outlineLevel="0" max="1" min="1" style="0" width="19.29"/>
    <col collapsed="false" customWidth="true" hidden="false" outlineLevel="0" max="2" min="2" style="0" width="52.85"/>
    <col collapsed="false" customWidth="true" hidden="false" outlineLevel="0" max="3" min="3" style="0" width="54.86"/>
    <col collapsed="false" customWidth="true" hidden="false" outlineLevel="0" max="1025" min="4" style="0" width="8.67"/>
  </cols>
  <sheetData>
    <row r="1" customFormat="false" ht="15.75" hidden="false" customHeight="false" outlineLevel="0" collapsed="false">
      <c r="A1" s="166" t="s">
        <v>257</v>
      </c>
      <c r="B1" s="166"/>
      <c r="C1" s="167"/>
    </row>
    <row r="2" customFormat="false" ht="15.75" hidden="false" customHeight="false" outlineLevel="0" collapsed="false">
      <c r="A2" s="166" t="s">
        <v>1</v>
      </c>
      <c r="B2" s="166" t="s">
        <v>258</v>
      </c>
      <c r="C2" s="166" t="s">
        <v>259</v>
      </c>
    </row>
    <row r="3" customFormat="false" ht="15.75" hidden="false" customHeight="false" outlineLevel="0" collapsed="false">
      <c r="A3" s="168"/>
      <c r="B3" s="169" t="s">
        <v>260</v>
      </c>
      <c r="C3" s="169" t="s">
        <v>261</v>
      </c>
    </row>
    <row r="4" customFormat="false" ht="31.5" hidden="false" customHeight="false" outlineLevel="0" collapsed="false">
      <c r="A4" s="170" t="s">
        <v>2</v>
      </c>
      <c r="B4" s="171" t="s">
        <v>262</v>
      </c>
      <c r="C4" s="171" t="s">
        <v>262</v>
      </c>
    </row>
    <row r="5" customFormat="false" ht="15.75" hidden="false" customHeight="false" outlineLevel="0" collapsed="false">
      <c r="A5" s="172"/>
      <c r="B5" s="173" t="s">
        <v>263</v>
      </c>
      <c r="C5" s="173" t="s">
        <v>263</v>
      </c>
    </row>
    <row r="6" customFormat="false" ht="15.75" hidden="false" customHeight="false" outlineLevel="0" collapsed="false">
      <c r="A6" s="174" t="s">
        <v>264</v>
      </c>
      <c r="B6" s="175" t="n">
        <v>109.5</v>
      </c>
      <c r="C6" s="175" t="n">
        <v>0</v>
      </c>
    </row>
    <row r="7" customFormat="false" ht="15.75" hidden="false" customHeight="false" outlineLevel="0" collapsed="false">
      <c r="A7" s="174" t="s">
        <v>82</v>
      </c>
      <c r="B7" s="176" t="n">
        <v>31.7777777777778</v>
      </c>
      <c r="C7" s="176" t="n">
        <v>0</v>
      </c>
    </row>
    <row r="8" customFormat="false" ht="15.75" hidden="false" customHeight="false" outlineLevel="0" collapsed="false">
      <c r="A8" s="174" t="s">
        <v>83</v>
      </c>
      <c r="B8" s="176" t="n">
        <v>0</v>
      </c>
      <c r="C8" s="176" t="n">
        <v>0</v>
      </c>
    </row>
    <row r="9" customFormat="false" ht="15.75" hidden="false" customHeight="false" outlineLevel="0" collapsed="false">
      <c r="A9" s="174" t="s">
        <v>84</v>
      </c>
      <c r="B9" s="176" t="n">
        <v>80</v>
      </c>
      <c r="C9" s="176" t="n">
        <v>0</v>
      </c>
    </row>
    <row r="10" customFormat="false" ht="15.75" hidden="false" customHeight="false" outlineLevel="0" collapsed="false">
      <c r="A10" s="174" t="s">
        <v>85</v>
      </c>
      <c r="B10" s="176" t="n">
        <v>12.2666666666667</v>
      </c>
      <c r="C10" s="176" t="n">
        <v>11.2</v>
      </c>
    </row>
    <row r="11" customFormat="false" ht="15.75" hidden="false" customHeight="false" outlineLevel="0" collapsed="false">
      <c r="A11" s="174" t="s">
        <v>86</v>
      </c>
      <c r="B11" s="177" t="n">
        <v>82.1466666666667</v>
      </c>
      <c r="C11" s="176" t="n">
        <v>74.2666666666667</v>
      </c>
    </row>
    <row r="12" customFormat="false" ht="15.75" hidden="false" customHeight="false" outlineLevel="0" collapsed="false">
      <c r="A12" s="174" t="s">
        <v>87</v>
      </c>
      <c r="B12" s="176" t="n">
        <v>35.2622222222222</v>
      </c>
      <c r="C12" s="176" t="n">
        <v>26.2666666666667</v>
      </c>
    </row>
    <row r="13" customFormat="false" ht="15.75" hidden="false" customHeight="false" outlineLevel="0" collapsed="false">
      <c r="A13" s="174" t="s">
        <v>90</v>
      </c>
      <c r="B13" s="176" t="n">
        <v>44.8197530864198</v>
      </c>
      <c r="C13" s="176" t="n">
        <v>47.5466666666667</v>
      </c>
    </row>
    <row r="14" customFormat="false" ht="15.75" hidden="false" customHeight="false" outlineLevel="0" collapsed="false">
      <c r="A14" s="178" t="s">
        <v>100</v>
      </c>
      <c r="B14" s="176" t="n">
        <v>59.6111111111111</v>
      </c>
      <c r="C14" s="176" t="n">
        <v>56.6</v>
      </c>
    </row>
    <row r="15" customFormat="false" ht="15.75" hidden="false" customHeight="false" outlineLevel="0" collapsed="false">
      <c r="A15" s="179"/>
      <c r="B15" s="180"/>
      <c r="C15" s="180"/>
    </row>
    <row r="18" customFormat="false" ht="15" hidden="false" customHeight="false" outlineLevel="0" collapsed="false">
      <c r="A18" s="0" t="s">
        <v>265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0" t="s">
        <v>266</v>
      </c>
      <c r="C1" s="0" t="s">
        <v>267</v>
      </c>
    </row>
    <row r="2" customFormat="false" ht="15" hidden="false" customHeight="false" outlineLevel="0" collapsed="false">
      <c r="B2" s="0" t="s">
        <v>1</v>
      </c>
      <c r="C2" s="181" t="s">
        <v>268</v>
      </c>
      <c r="D2" s="181"/>
      <c r="E2" s="181"/>
    </row>
    <row r="3" customFormat="false" ht="38.25" hidden="false" customHeight="false" outlineLevel="0" collapsed="false">
      <c r="A3" s="23" t="s">
        <v>2</v>
      </c>
      <c r="B3" s="23" t="s">
        <v>77</v>
      </c>
      <c r="C3" s="23" t="s">
        <v>269</v>
      </c>
      <c r="D3" s="23" t="s">
        <v>270</v>
      </c>
      <c r="E3" s="23" t="s">
        <v>271</v>
      </c>
      <c r="F3" s="138" t="s">
        <v>80</v>
      </c>
    </row>
    <row r="4" customFormat="false" ht="15" hidden="false" customHeight="false" outlineLevel="0" collapsed="false">
      <c r="A4" s="24" t="s">
        <v>81</v>
      </c>
      <c r="B4" s="24" t="s">
        <v>18</v>
      </c>
      <c r="C4" s="25" t="n">
        <v>0</v>
      </c>
      <c r="D4" s="25" t="n">
        <v>0</v>
      </c>
      <c r="E4" s="25" t="n">
        <v>0</v>
      </c>
    </row>
    <row r="5" customFormat="false" ht="15" hidden="false" customHeight="false" outlineLevel="0" collapsed="false">
      <c r="A5" s="26"/>
      <c r="B5" s="24" t="s">
        <v>19</v>
      </c>
      <c r="C5" s="25" t="n">
        <v>4</v>
      </c>
      <c r="D5" s="25" t="n">
        <v>0</v>
      </c>
      <c r="E5" s="25" t="n">
        <v>4</v>
      </c>
    </row>
    <row r="6" customFormat="false" ht="15" hidden="false" customHeight="false" outlineLevel="0" collapsed="false">
      <c r="A6" s="26"/>
      <c r="B6" s="24" t="s">
        <v>20</v>
      </c>
      <c r="C6" s="25" t="n">
        <v>0</v>
      </c>
      <c r="D6" s="25" t="n">
        <v>0</v>
      </c>
      <c r="E6" s="25" t="n">
        <v>0</v>
      </c>
    </row>
    <row r="7" customFormat="false" ht="15" hidden="false" customHeight="false" outlineLevel="0" collapsed="false">
      <c r="A7" s="26"/>
      <c r="B7" s="24" t="s">
        <v>21</v>
      </c>
      <c r="C7" s="25" t="n">
        <v>1</v>
      </c>
      <c r="D7" s="25" t="n">
        <v>1</v>
      </c>
      <c r="E7" s="25" t="n">
        <v>2</v>
      </c>
    </row>
    <row r="8" customFormat="false" ht="15" hidden="false" customHeight="false" outlineLevel="0" collapsed="false">
      <c r="A8" s="27"/>
      <c r="B8" s="28" t="s">
        <v>22</v>
      </c>
      <c r="C8" s="27" t="n">
        <v>5</v>
      </c>
      <c r="D8" s="27" t="n">
        <v>1</v>
      </c>
      <c r="E8" s="27" t="n">
        <v>6</v>
      </c>
    </row>
    <row r="9" customFormat="false" ht="15" hidden="false" customHeight="false" outlineLevel="0" collapsed="false">
      <c r="A9" s="24" t="s">
        <v>82</v>
      </c>
      <c r="B9" s="24" t="s">
        <v>24</v>
      </c>
      <c r="C9" s="25" t="n">
        <v>0</v>
      </c>
      <c r="D9" s="25" t="n">
        <v>0</v>
      </c>
      <c r="E9" s="25" t="n">
        <v>0</v>
      </c>
    </row>
    <row r="10" customFormat="false" ht="15" hidden="false" customHeight="false" outlineLevel="0" collapsed="false">
      <c r="A10" s="29"/>
      <c r="B10" s="24" t="s">
        <v>25</v>
      </c>
      <c r="C10" s="25" t="n">
        <v>3</v>
      </c>
      <c r="D10" s="25" t="n">
        <v>0</v>
      </c>
      <c r="E10" s="25" t="n">
        <v>3</v>
      </c>
    </row>
    <row r="11" customFormat="false" ht="15" hidden="false" customHeight="false" outlineLevel="0" collapsed="false">
      <c r="A11" s="29"/>
      <c r="B11" s="24" t="s">
        <v>26</v>
      </c>
      <c r="C11" s="25" t="n">
        <v>1</v>
      </c>
      <c r="D11" s="25" t="n">
        <v>0</v>
      </c>
      <c r="E11" s="25" t="n">
        <v>1</v>
      </c>
    </row>
    <row r="12" customFormat="false" ht="15" hidden="false" customHeight="false" outlineLevel="0" collapsed="false">
      <c r="A12" s="29"/>
      <c r="B12" s="24" t="s">
        <v>27</v>
      </c>
      <c r="C12" s="25" t="n">
        <v>1</v>
      </c>
      <c r="D12" s="25" t="n">
        <v>1</v>
      </c>
      <c r="E12" s="25" t="n">
        <v>2</v>
      </c>
    </row>
    <row r="13" customFormat="false" ht="15" hidden="false" customHeight="false" outlineLevel="0" collapsed="false">
      <c r="A13" s="27"/>
      <c r="B13" s="28" t="s">
        <v>22</v>
      </c>
      <c r="C13" s="27" t="n">
        <v>5</v>
      </c>
      <c r="D13" s="27" t="n">
        <v>1</v>
      </c>
      <c r="E13" s="27" t="n">
        <v>6</v>
      </c>
    </row>
    <row r="14" customFormat="false" ht="15" hidden="false" customHeight="false" outlineLevel="0" collapsed="false">
      <c r="A14" s="24" t="s">
        <v>83</v>
      </c>
      <c r="B14" s="24" t="s">
        <v>29</v>
      </c>
      <c r="C14" s="25" t="n">
        <v>0</v>
      </c>
      <c r="D14" s="25" t="n">
        <v>0</v>
      </c>
      <c r="E14" s="25" t="n">
        <v>0</v>
      </c>
    </row>
    <row r="15" customFormat="false" ht="15" hidden="false" customHeight="false" outlineLevel="0" collapsed="false">
      <c r="A15" s="27"/>
      <c r="B15" s="28" t="s">
        <v>22</v>
      </c>
      <c r="C15" s="27" t="n">
        <v>0</v>
      </c>
      <c r="D15" s="27" t="n">
        <v>0</v>
      </c>
      <c r="E15" s="27" t="n">
        <v>0</v>
      </c>
    </row>
    <row r="16" customFormat="false" ht="15" hidden="false" customHeight="false" outlineLevel="0" collapsed="false">
      <c r="A16" s="24" t="s">
        <v>84</v>
      </c>
      <c r="B16" s="24" t="s">
        <v>31</v>
      </c>
      <c r="C16" s="25" t="n">
        <v>0</v>
      </c>
      <c r="D16" s="25" t="n">
        <v>0</v>
      </c>
      <c r="E16" s="25" t="n">
        <v>0</v>
      </c>
    </row>
    <row r="17" customFormat="false" ht="15" hidden="false" customHeight="false" outlineLevel="0" collapsed="false">
      <c r="A17" s="25"/>
      <c r="B17" s="24" t="s">
        <v>32</v>
      </c>
      <c r="C17" s="25" t="n">
        <v>1</v>
      </c>
      <c r="D17" s="25" t="n">
        <v>0</v>
      </c>
      <c r="E17" s="25" t="n">
        <v>1</v>
      </c>
    </row>
    <row r="18" customFormat="false" ht="15" hidden="false" customHeight="false" outlineLevel="0" collapsed="false">
      <c r="A18" s="25"/>
      <c r="B18" s="24" t="s">
        <v>33</v>
      </c>
      <c r="C18" s="25" t="n">
        <v>0</v>
      </c>
      <c r="D18" s="25" t="n">
        <v>0</v>
      </c>
      <c r="E18" s="25" t="n">
        <v>0</v>
      </c>
    </row>
    <row r="19" customFormat="false" ht="15" hidden="false" customHeight="false" outlineLevel="0" collapsed="false">
      <c r="A19" s="27"/>
      <c r="B19" s="28" t="s">
        <v>22</v>
      </c>
      <c r="C19" s="27" t="n">
        <v>1</v>
      </c>
      <c r="D19" s="27" t="n">
        <v>0</v>
      </c>
      <c r="E19" s="27" t="n">
        <v>1</v>
      </c>
    </row>
    <row r="20" customFormat="false" ht="25.5" hidden="false" customHeight="false" outlineLevel="0" collapsed="false">
      <c r="A20" s="24" t="s">
        <v>85</v>
      </c>
      <c r="B20" s="24" t="s">
        <v>35</v>
      </c>
      <c r="C20" s="25" t="n">
        <v>1</v>
      </c>
      <c r="D20" s="25" t="n">
        <v>2</v>
      </c>
      <c r="E20" s="25" t="n">
        <v>3</v>
      </c>
    </row>
    <row r="21" customFormat="false" ht="15" hidden="false" customHeight="false" outlineLevel="0" collapsed="false">
      <c r="A21" s="25"/>
      <c r="B21" s="24" t="s">
        <v>36</v>
      </c>
      <c r="C21" s="25" t="n">
        <v>2</v>
      </c>
      <c r="D21" s="25" t="n">
        <v>0</v>
      </c>
      <c r="E21" s="25" t="n">
        <v>2</v>
      </c>
    </row>
    <row r="22" customFormat="false" ht="15" hidden="false" customHeight="false" outlineLevel="0" collapsed="false">
      <c r="A22" s="25"/>
      <c r="B22" s="24" t="s">
        <v>37</v>
      </c>
      <c r="C22" s="25" t="n">
        <v>0</v>
      </c>
      <c r="D22" s="25" t="n">
        <v>1</v>
      </c>
      <c r="E22" s="25" t="n">
        <v>1</v>
      </c>
    </row>
    <row r="23" customFormat="false" ht="15" hidden="false" customHeight="false" outlineLevel="0" collapsed="false">
      <c r="A23" s="27"/>
      <c r="B23" s="28" t="s">
        <v>22</v>
      </c>
      <c r="C23" s="27" t="n">
        <v>3</v>
      </c>
      <c r="D23" s="27" t="n">
        <v>3</v>
      </c>
      <c r="E23" s="27" t="n">
        <v>6</v>
      </c>
    </row>
    <row r="24" customFormat="false" ht="25.5" hidden="false" customHeight="false" outlineLevel="0" collapsed="false">
      <c r="A24" s="24" t="s">
        <v>86</v>
      </c>
      <c r="B24" s="24" t="s">
        <v>39</v>
      </c>
      <c r="C24" s="25" t="n">
        <v>0</v>
      </c>
      <c r="D24" s="25" t="n">
        <v>0</v>
      </c>
      <c r="E24" s="25" t="n">
        <v>0</v>
      </c>
    </row>
    <row r="25" customFormat="false" ht="15" hidden="false" customHeight="false" outlineLevel="0" collapsed="false">
      <c r="A25" s="25"/>
      <c r="B25" s="24" t="s">
        <v>40</v>
      </c>
      <c r="C25" s="25" t="n">
        <v>2</v>
      </c>
      <c r="D25" s="25" t="n">
        <v>0</v>
      </c>
      <c r="E25" s="25" t="n">
        <v>2</v>
      </c>
    </row>
    <row r="26" customFormat="false" ht="15" hidden="false" customHeight="false" outlineLevel="0" collapsed="false">
      <c r="A26" s="25"/>
      <c r="B26" s="24" t="s">
        <v>41</v>
      </c>
      <c r="C26" s="25" t="n">
        <v>8</v>
      </c>
      <c r="D26" s="25" t="n">
        <v>8</v>
      </c>
      <c r="E26" s="25" t="n">
        <v>16</v>
      </c>
    </row>
    <row r="27" customFormat="false" ht="15" hidden="false" customHeight="false" outlineLevel="0" collapsed="false">
      <c r="A27" s="25"/>
      <c r="B27" s="24" t="s">
        <v>42</v>
      </c>
      <c r="C27" s="25" t="n">
        <v>2</v>
      </c>
      <c r="D27" s="25" t="n">
        <v>0</v>
      </c>
      <c r="E27" s="25" t="n">
        <v>2</v>
      </c>
    </row>
    <row r="28" customFormat="false" ht="15" hidden="false" customHeight="false" outlineLevel="0" collapsed="false">
      <c r="A28" s="27"/>
      <c r="B28" s="28" t="s">
        <v>22</v>
      </c>
      <c r="C28" s="27" t="n">
        <v>12</v>
      </c>
      <c r="D28" s="27" t="n">
        <v>8</v>
      </c>
      <c r="E28" s="27" t="n">
        <v>20</v>
      </c>
    </row>
    <row r="29" customFormat="false" ht="15" hidden="false" customHeight="false" outlineLevel="0" collapsed="false">
      <c r="A29" s="24" t="s">
        <v>87</v>
      </c>
      <c r="B29" s="24" t="s">
        <v>44</v>
      </c>
      <c r="C29" s="25" t="n">
        <v>19</v>
      </c>
      <c r="D29" s="25" t="n">
        <v>0</v>
      </c>
      <c r="E29" s="25" t="n">
        <v>19</v>
      </c>
    </row>
    <row r="30" customFormat="false" ht="25.5" hidden="false" customHeight="false" outlineLevel="0" collapsed="false">
      <c r="A30" s="25"/>
      <c r="B30" s="24" t="s">
        <v>45</v>
      </c>
      <c r="C30" s="25" t="n">
        <v>1</v>
      </c>
      <c r="D30" s="25" t="n">
        <v>0</v>
      </c>
      <c r="E30" s="25" t="n">
        <v>1</v>
      </c>
    </row>
    <row r="31" customFormat="false" ht="15" hidden="false" customHeight="false" outlineLevel="0" collapsed="false">
      <c r="A31" s="25"/>
      <c r="B31" s="24" t="s">
        <v>46</v>
      </c>
      <c r="C31" s="25" t="n">
        <v>38</v>
      </c>
      <c r="D31" s="25" t="n">
        <v>19</v>
      </c>
      <c r="E31" s="25" t="n">
        <v>57</v>
      </c>
    </row>
    <row r="32" customFormat="false" ht="15" hidden="false" customHeight="false" outlineLevel="0" collapsed="false">
      <c r="A32" s="27"/>
      <c r="B32" s="28" t="s">
        <v>22</v>
      </c>
      <c r="C32" s="27" t="n">
        <v>58</v>
      </c>
      <c r="D32" s="27" t="n">
        <v>19</v>
      </c>
      <c r="E32" s="27" t="n">
        <v>77</v>
      </c>
    </row>
    <row r="33" customFormat="false" ht="15" hidden="false" customHeight="false" outlineLevel="0" collapsed="false">
      <c r="A33" s="24" t="s">
        <v>90</v>
      </c>
      <c r="B33" s="24" t="s">
        <v>91</v>
      </c>
      <c r="C33" s="25" t="n">
        <v>0</v>
      </c>
      <c r="D33" s="25" t="n">
        <v>0</v>
      </c>
      <c r="E33" s="25" t="n">
        <v>0</v>
      </c>
    </row>
    <row r="34" customFormat="false" ht="15" hidden="false" customHeight="false" outlineLevel="0" collapsed="false">
      <c r="A34" s="25"/>
      <c r="B34" s="24" t="s">
        <v>92</v>
      </c>
      <c r="C34" s="25" t="n">
        <v>18</v>
      </c>
      <c r="D34" s="25" t="n">
        <v>6</v>
      </c>
      <c r="E34" s="25" t="n">
        <v>24</v>
      </c>
    </row>
    <row r="35" customFormat="false" ht="15" hidden="false" customHeight="false" outlineLevel="0" collapsed="false">
      <c r="A35" s="25"/>
      <c r="B35" s="24" t="s">
        <v>93</v>
      </c>
      <c r="C35" s="25" t="n">
        <v>0</v>
      </c>
      <c r="D35" s="25" t="n">
        <v>0</v>
      </c>
      <c r="E35" s="25" t="n">
        <v>0</v>
      </c>
    </row>
    <row r="36" customFormat="false" ht="15" hidden="false" customHeight="false" outlineLevel="0" collapsed="false">
      <c r="A36" s="25"/>
      <c r="B36" s="24" t="s">
        <v>94</v>
      </c>
      <c r="C36" s="25" t="n">
        <v>15</v>
      </c>
      <c r="D36" s="25" t="n">
        <v>5</v>
      </c>
      <c r="E36" s="25" t="n">
        <v>20</v>
      </c>
    </row>
    <row r="37" customFormat="false" ht="15" hidden="false" customHeight="false" outlineLevel="0" collapsed="false">
      <c r="A37" s="25"/>
      <c r="B37" s="24" t="s">
        <v>95</v>
      </c>
      <c r="C37" s="25" t="n">
        <v>16</v>
      </c>
      <c r="D37" s="25" t="n">
        <v>9</v>
      </c>
      <c r="E37" s="25" t="n">
        <v>25</v>
      </c>
    </row>
    <row r="38" customFormat="false" ht="15" hidden="false" customHeight="false" outlineLevel="0" collapsed="false">
      <c r="A38" s="25"/>
      <c r="B38" s="24" t="s">
        <v>96</v>
      </c>
      <c r="C38" s="25" t="n">
        <v>20</v>
      </c>
      <c r="D38" s="25" t="n">
        <v>9</v>
      </c>
      <c r="E38" s="25" t="n">
        <v>29</v>
      </c>
    </row>
    <row r="39" customFormat="false" ht="15" hidden="false" customHeight="false" outlineLevel="0" collapsed="false">
      <c r="A39" s="25"/>
      <c r="B39" s="24" t="s">
        <v>97</v>
      </c>
      <c r="C39" s="25" t="n">
        <v>12</v>
      </c>
      <c r="D39" s="25" t="n">
        <v>0</v>
      </c>
      <c r="E39" s="25" t="n">
        <v>12</v>
      </c>
    </row>
    <row r="40" customFormat="false" ht="15" hidden="false" customHeight="false" outlineLevel="0" collapsed="false">
      <c r="A40" s="25"/>
      <c r="B40" s="24" t="s">
        <v>98</v>
      </c>
      <c r="C40" s="25" t="n">
        <v>0</v>
      </c>
      <c r="D40" s="25" t="n">
        <v>0</v>
      </c>
      <c r="E40" s="25" t="n">
        <v>0</v>
      </c>
    </row>
    <row r="41" customFormat="false" ht="15" hidden="false" customHeight="false" outlineLevel="0" collapsed="false">
      <c r="A41" s="25"/>
      <c r="B41" s="24" t="s">
        <v>99</v>
      </c>
      <c r="C41" s="25" t="n">
        <v>4</v>
      </c>
      <c r="D41" s="25" t="n">
        <v>3</v>
      </c>
      <c r="E41" s="25" t="n">
        <v>7</v>
      </c>
    </row>
    <row r="42" customFormat="false" ht="15" hidden="false" customHeight="false" outlineLevel="0" collapsed="false">
      <c r="A42" s="27"/>
      <c r="B42" s="28" t="s">
        <v>22</v>
      </c>
      <c r="C42" s="27" t="n">
        <v>85</v>
      </c>
      <c r="D42" s="27" t="n">
        <v>32</v>
      </c>
      <c r="E42" s="27" t="n">
        <v>117</v>
      </c>
    </row>
    <row r="43" customFormat="false" ht="15" hidden="false" customHeight="false" outlineLevel="0" collapsed="false">
      <c r="A43" s="24" t="s">
        <v>100</v>
      </c>
      <c r="B43" s="24" t="s">
        <v>101</v>
      </c>
      <c r="C43" s="25" t="n">
        <v>24</v>
      </c>
      <c r="D43" s="25" t="n">
        <v>11</v>
      </c>
      <c r="E43" s="25" t="n">
        <v>35</v>
      </c>
    </row>
    <row r="44" customFormat="false" ht="15" hidden="false" customHeight="false" outlineLevel="0" collapsed="false">
      <c r="A44" s="25"/>
      <c r="B44" s="24" t="s">
        <v>102</v>
      </c>
      <c r="C44" s="25" t="n">
        <v>0</v>
      </c>
      <c r="D44" s="25" t="n">
        <v>0</v>
      </c>
      <c r="E44" s="25" t="n">
        <v>0</v>
      </c>
    </row>
    <row r="45" customFormat="false" ht="15" hidden="false" customHeight="false" outlineLevel="0" collapsed="false">
      <c r="A45" s="25"/>
      <c r="B45" s="24" t="s">
        <v>103</v>
      </c>
      <c r="C45" s="25" t="n">
        <v>1</v>
      </c>
      <c r="D45" s="25" t="n">
        <v>0</v>
      </c>
      <c r="E45" s="25" t="n">
        <v>1</v>
      </c>
    </row>
    <row r="46" customFormat="false" ht="15" hidden="false" customHeight="false" outlineLevel="0" collapsed="false">
      <c r="A46" s="25"/>
      <c r="B46" s="24" t="s">
        <v>104</v>
      </c>
      <c r="C46" s="25" t="n">
        <v>0</v>
      </c>
      <c r="D46" s="25" t="n">
        <v>0</v>
      </c>
      <c r="E46" s="25" t="n">
        <v>0</v>
      </c>
    </row>
    <row r="47" customFormat="false" ht="15" hidden="false" customHeight="false" outlineLevel="0" collapsed="false">
      <c r="A47" s="25"/>
      <c r="B47" s="24" t="s">
        <v>105</v>
      </c>
      <c r="C47" s="25" t="n">
        <v>0</v>
      </c>
      <c r="D47" s="25" t="n">
        <v>0</v>
      </c>
      <c r="E47" s="25" t="n">
        <v>0</v>
      </c>
    </row>
    <row r="48" customFormat="false" ht="15" hidden="false" customHeight="false" outlineLevel="0" collapsed="false">
      <c r="A48" s="25"/>
      <c r="B48" s="24" t="s">
        <v>106</v>
      </c>
      <c r="C48" s="25" t="n">
        <v>0</v>
      </c>
      <c r="D48" s="25" t="n">
        <v>0</v>
      </c>
      <c r="E48" s="25" t="n">
        <v>0</v>
      </c>
    </row>
    <row r="49" customFormat="false" ht="15" hidden="false" customHeight="false" outlineLevel="0" collapsed="false">
      <c r="A49" s="25"/>
      <c r="B49" s="24" t="s">
        <v>107</v>
      </c>
      <c r="C49" s="25" t="n">
        <v>0</v>
      </c>
      <c r="D49" s="25" t="n">
        <v>0</v>
      </c>
      <c r="E49" s="25" t="n">
        <v>0</v>
      </c>
    </row>
    <row r="50" customFormat="false" ht="15" hidden="false" customHeight="false" outlineLevel="0" collapsed="false">
      <c r="A50" s="25"/>
      <c r="B50" s="24" t="s">
        <v>108</v>
      </c>
      <c r="C50" s="25" t="n">
        <v>2</v>
      </c>
      <c r="D50" s="25" t="n">
        <v>1</v>
      </c>
      <c r="E50" s="25" t="n">
        <v>3</v>
      </c>
    </row>
    <row r="51" customFormat="false" ht="15" hidden="false" customHeight="false" outlineLevel="0" collapsed="false">
      <c r="A51" s="25"/>
      <c r="B51" s="24" t="s">
        <v>109</v>
      </c>
      <c r="C51" s="25" t="n">
        <v>12</v>
      </c>
      <c r="D51" s="25" t="n">
        <v>15</v>
      </c>
      <c r="E51" s="25" t="n">
        <v>27</v>
      </c>
    </row>
    <row r="52" customFormat="false" ht="15" hidden="false" customHeight="false" outlineLevel="0" collapsed="false">
      <c r="A52" s="25"/>
      <c r="B52" s="24" t="s">
        <v>110</v>
      </c>
      <c r="C52" s="25" t="n">
        <v>5</v>
      </c>
      <c r="D52" s="25" t="n">
        <v>3</v>
      </c>
      <c r="E52" s="25" t="n">
        <v>8</v>
      </c>
    </row>
    <row r="53" customFormat="false" ht="15" hidden="false" customHeight="false" outlineLevel="0" collapsed="false">
      <c r="A53" s="25"/>
      <c r="B53" s="24" t="s">
        <v>111</v>
      </c>
      <c r="C53" s="25" t="n">
        <v>0</v>
      </c>
      <c r="D53" s="25" t="n">
        <v>0</v>
      </c>
      <c r="E53" s="25" t="n">
        <v>0</v>
      </c>
    </row>
    <row r="54" customFormat="false" ht="15" hidden="false" customHeight="false" outlineLevel="0" collapsed="false">
      <c r="A54" s="25"/>
      <c r="B54" s="24" t="s">
        <v>112</v>
      </c>
      <c r="C54" s="25" t="n">
        <v>0</v>
      </c>
      <c r="D54" s="25" t="n">
        <v>0</v>
      </c>
      <c r="E54" s="25" t="n">
        <v>0</v>
      </c>
    </row>
    <row r="55" customFormat="false" ht="15" hidden="false" customHeight="false" outlineLevel="0" collapsed="false">
      <c r="A55" s="25"/>
      <c r="B55" s="24" t="s">
        <v>113</v>
      </c>
      <c r="C55" s="25" t="n">
        <v>0</v>
      </c>
      <c r="D55" s="25" t="n">
        <v>0</v>
      </c>
      <c r="E55" s="25" t="n">
        <v>0</v>
      </c>
    </row>
    <row r="56" customFormat="false" ht="15" hidden="false" customHeight="false" outlineLevel="0" collapsed="false">
      <c r="A56" s="25"/>
      <c r="B56" s="24" t="s">
        <v>114</v>
      </c>
      <c r="C56" s="25" t="n">
        <v>0</v>
      </c>
      <c r="D56" s="25" t="n">
        <v>0</v>
      </c>
      <c r="E56" s="25" t="n">
        <v>0</v>
      </c>
    </row>
    <row r="57" customFormat="false" ht="15" hidden="false" customHeight="false" outlineLevel="0" collapsed="false">
      <c r="A57" s="25"/>
      <c r="B57" s="24" t="s">
        <v>115</v>
      </c>
      <c r="C57" s="25" t="n">
        <v>9</v>
      </c>
      <c r="D57" s="25" t="n">
        <v>5</v>
      </c>
      <c r="E57" s="25" t="n">
        <v>14</v>
      </c>
    </row>
    <row r="58" customFormat="false" ht="15" hidden="false" customHeight="false" outlineLevel="0" collapsed="false">
      <c r="A58" s="25"/>
      <c r="B58" s="24" t="s">
        <v>116</v>
      </c>
      <c r="C58" s="25" t="n">
        <v>1</v>
      </c>
      <c r="D58" s="25" t="n">
        <v>0</v>
      </c>
      <c r="E58" s="25" t="n">
        <v>1</v>
      </c>
    </row>
    <row r="59" customFormat="false" ht="15" hidden="false" customHeight="false" outlineLevel="0" collapsed="false">
      <c r="A59" s="27"/>
      <c r="B59" s="28" t="s">
        <v>22</v>
      </c>
      <c r="C59" s="27" t="n">
        <v>54</v>
      </c>
      <c r="D59" s="27" t="n">
        <v>35</v>
      </c>
      <c r="E59" s="27" t="n">
        <v>89</v>
      </c>
    </row>
    <row r="60" customFormat="false" ht="25.5" hidden="false" customHeight="false" outlineLevel="0" collapsed="false">
      <c r="A60" s="30"/>
      <c r="B60" s="30" t="s">
        <v>74</v>
      </c>
      <c r="C60" s="31" t="n">
        <v>223</v>
      </c>
      <c r="D60" s="31" t="n">
        <v>99</v>
      </c>
      <c r="E60" s="31" t="n">
        <v>322</v>
      </c>
    </row>
    <row r="61" customFormat="false" ht="25.5" hidden="false" customHeight="false" outlineLevel="0" collapsed="false">
      <c r="A61" s="32"/>
      <c r="B61" s="32" t="s">
        <v>117</v>
      </c>
      <c r="C61" s="33" t="n">
        <v>0.692546583850932</v>
      </c>
      <c r="D61" s="33" t="n">
        <v>0.307453416149068</v>
      </c>
      <c r="E61" s="33" t="n">
        <v>1</v>
      </c>
    </row>
  </sheetData>
  <mergeCells count="1">
    <mergeCell ref="C2:E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5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0" t="s">
        <v>266</v>
      </c>
      <c r="C1" s="0" t="s">
        <v>272</v>
      </c>
    </row>
    <row r="2" customFormat="false" ht="15" hidden="false" customHeight="false" outlineLevel="0" collapsed="false">
      <c r="B2" s="0" t="s">
        <v>1</v>
      </c>
      <c r="C2" s="182" t="s">
        <v>273</v>
      </c>
      <c r="D2" s="182"/>
      <c r="E2" s="182"/>
      <c r="F2" s="182"/>
      <c r="G2" s="182"/>
      <c r="H2" s="182"/>
    </row>
    <row r="3" customFormat="false" ht="38.25" hidden="false" customHeight="false" outlineLevel="0" collapsed="false">
      <c r="A3" s="23" t="s">
        <v>2</v>
      </c>
      <c r="B3" s="23" t="s">
        <v>77</v>
      </c>
      <c r="C3" s="23" t="s">
        <v>274</v>
      </c>
      <c r="D3" s="23" t="s">
        <v>275</v>
      </c>
      <c r="E3" s="23" t="s">
        <v>276</v>
      </c>
      <c r="F3" s="138" t="s">
        <v>277</v>
      </c>
      <c r="G3" s="138" t="s">
        <v>278</v>
      </c>
      <c r="H3" s="138" t="s">
        <v>133</v>
      </c>
    </row>
    <row r="4" customFormat="false" ht="15" hidden="false" customHeight="false" outlineLevel="0" collapsed="false">
      <c r="A4" s="24" t="s">
        <v>81</v>
      </c>
      <c r="B4" s="24" t="s">
        <v>18</v>
      </c>
      <c r="C4" s="25" t="n">
        <v>0</v>
      </c>
      <c r="D4" s="25" t="n">
        <v>0</v>
      </c>
      <c r="E4" s="25" t="n">
        <v>0</v>
      </c>
    </row>
    <row r="5" customFormat="false" ht="15" hidden="false" customHeight="false" outlineLevel="0" collapsed="false">
      <c r="A5" s="26"/>
      <c r="B5" s="24" t="s">
        <v>19</v>
      </c>
      <c r="C5" s="25" t="n">
        <v>4</v>
      </c>
      <c r="D5" s="25" t="n">
        <v>0</v>
      </c>
      <c r="E5" s="25" t="n">
        <v>4</v>
      </c>
    </row>
    <row r="6" customFormat="false" ht="15" hidden="false" customHeight="false" outlineLevel="0" collapsed="false">
      <c r="A6" s="26"/>
      <c r="B6" s="24" t="s">
        <v>20</v>
      </c>
      <c r="C6" s="25" t="n">
        <v>0</v>
      </c>
      <c r="D6" s="25" t="n">
        <v>0</v>
      </c>
      <c r="E6" s="25" t="n">
        <v>0</v>
      </c>
    </row>
    <row r="7" customFormat="false" ht="15" hidden="false" customHeight="false" outlineLevel="0" collapsed="false">
      <c r="A7" s="26"/>
      <c r="B7" s="24" t="s">
        <v>21</v>
      </c>
      <c r="C7" s="25" t="n">
        <v>1</v>
      </c>
      <c r="D7" s="25" t="n">
        <v>1</v>
      </c>
      <c r="E7" s="25" t="n">
        <v>2</v>
      </c>
    </row>
    <row r="8" customFormat="false" ht="15" hidden="false" customHeight="false" outlineLevel="0" collapsed="false">
      <c r="A8" s="27"/>
      <c r="B8" s="28" t="s">
        <v>22</v>
      </c>
      <c r="C8" s="27" t="n">
        <v>5</v>
      </c>
      <c r="D8" s="27" t="n">
        <v>1</v>
      </c>
      <c r="E8" s="27" t="n">
        <v>6</v>
      </c>
    </row>
    <row r="9" customFormat="false" ht="15" hidden="false" customHeight="false" outlineLevel="0" collapsed="false">
      <c r="A9" s="24" t="s">
        <v>82</v>
      </c>
      <c r="B9" s="24" t="s">
        <v>24</v>
      </c>
      <c r="C9" s="25" t="n">
        <v>0</v>
      </c>
      <c r="D9" s="25" t="n">
        <v>0</v>
      </c>
      <c r="E9" s="25" t="n">
        <v>0</v>
      </c>
    </row>
    <row r="10" customFormat="false" ht="15" hidden="false" customHeight="false" outlineLevel="0" collapsed="false">
      <c r="A10" s="29"/>
      <c r="B10" s="24" t="s">
        <v>25</v>
      </c>
      <c r="C10" s="25" t="n">
        <v>3</v>
      </c>
      <c r="D10" s="25" t="n">
        <v>0</v>
      </c>
      <c r="E10" s="25" t="n">
        <v>3</v>
      </c>
    </row>
    <row r="11" customFormat="false" ht="15" hidden="false" customHeight="false" outlineLevel="0" collapsed="false">
      <c r="A11" s="29"/>
      <c r="B11" s="24" t="s">
        <v>26</v>
      </c>
      <c r="C11" s="25" t="n">
        <v>1</v>
      </c>
      <c r="D11" s="25" t="n">
        <v>0</v>
      </c>
      <c r="E11" s="25" t="n">
        <v>1</v>
      </c>
    </row>
    <row r="12" customFormat="false" ht="15" hidden="false" customHeight="false" outlineLevel="0" collapsed="false">
      <c r="A12" s="29"/>
      <c r="B12" s="24" t="s">
        <v>27</v>
      </c>
      <c r="C12" s="25" t="n">
        <v>1</v>
      </c>
      <c r="D12" s="25" t="n">
        <v>1</v>
      </c>
      <c r="E12" s="25" t="n">
        <v>2</v>
      </c>
    </row>
    <row r="13" customFormat="false" ht="15" hidden="false" customHeight="false" outlineLevel="0" collapsed="false">
      <c r="A13" s="27"/>
      <c r="B13" s="28" t="s">
        <v>22</v>
      </c>
      <c r="C13" s="27" t="n">
        <v>5</v>
      </c>
      <c r="D13" s="27" t="n">
        <v>1</v>
      </c>
      <c r="E13" s="27" t="n">
        <v>6</v>
      </c>
    </row>
    <row r="14" customFormat="false" ht="15" hidden="false" customHeight="false" outlineLevel="0" collapsed="false">
      <c r="A14" s="24" t="s">
        <v>83</v>
      </c>
      <c r="B14" s="24" t="s">
        <v>29</v>
      </c>
      <c r="C14" s="25" t="n">
        <v>0</v>
      </c>
      <c r="D14" s="25" t="n">
        <v>0</v>
      </c>
      <c r="E14" s="25" t="n">
        <v>0</v>
      </c>
    </row>
    <row r="15" customFormat="false" ht="15" hidden="false" customHeight="false" outlineLevel="0" collapsed="false">
      <c r="A15" s="27"/>
      <c r="B15" s="28" t="s">
        <v>22</v>
      </c>
      <c r="C15" s="27" t="n">
        <v>0</v>
      </c>
      <c r="D15" s="27" t="n">
        <v>0</v>
      </c>
      <c r="E15" s="27" t="n">
        <v>0</v>
      </c>
    </row>
    <row r="16" customFormat="false" ht="15" hidden="false" customHeight="false" outlineLevel="0" collapsed="false">
      <c r="A16" s="24" t="s">
        <v>84</v>
      </c>
      <c r="B16" s="24" t="s">
        <v>31</v>
      </c>
      <c r="C16" s="25" t="n">
        <v>0</v>
      </c>
      <c r="D16" s="25" t="n">
        <v>0</v>
      </c>
      <c r="E16" s="25" t="n">
        <v>0</v>
      </c>
    </row>
    <row r="17" customFormat="false" ht="15" hidden="false" customHeight="false" outlineLevel="0" collapsed="false">
      <c r="A17" s="25"/>
      <c r="B17" s="24" t="s">
        <v>32</v>
      </c>
      <c r="C17" s="25" t="n">
        <v>1</v>
      </c>
      <c r="D17" s="25" t="n">
        <v>0</v>
      </c>
      <c r="E17" s="25" t="n">
        <v>1</v>
      </c>
    </row>
    <row r="18" customFormat="false" ht="15" hidden="false" customHeight="false" outlineLevel="0" collapsed="false">
      <c r="A18" s="25"/>
      <c r="B18" s="24" t="s">
        <v>33</v>
      </c>
      <c r="C18" s="25" t="n">
        <v>0</v>
      </c>
      <c r="D18" s="25" t="n">
        <v>0</v>
      </c>
      <c r="E18" s="25" t="n">
        <v>0</v>
      </c>
    </row>
    <row r="19" customFormat="false" ht="15" hidden="false" customHeight="false" outlineLevel="0" collapsed="false">
      <c r="A19" s="27"/>
      <c r="B19" s="28" t="s">
        <v>22</v>
      </c>
      <c r="C19" s="27" t="n">
        <v>1</v>
      </c>
      <c r="D19" s="27" t="n">
        <v>0</v>
      </c>
      <c r="E19" s="27" t="n">
        <v>1</v>
      </c>
    </row>
    <row r="20" customFormat="false" ht="25.5" hidden="false" customHeight="false" outlineLevel="0" collapsed="false">
      <c r="A20" s="24" t="s">
        <v>85</v>
      </c>
      <c r="B20" s="24" t="s">
        <v>35</v>
      </c>
      <c r="C20" s="25" t="n">
        <v>1</v>
      </c>
      <c r="D20" s="25" t="n">
        <v>2</v>
      </c>
      <c r="E20" s="25" t="n">
        <v>3</v>
      </c>
    </row>
    <row r="21" customFormat="false" ht="15" hidden="false" customHeight="false" outlineLevel="0" collapsed="false">
      <c r="A21" s="25"/>
      <c r="B21" s="24" t="s">
        <v>36</v>
      </c>
      <c r="C21" s="25" t="n">
        <v>2</v>
      </c>
      <c r="D21" s="25" t="n">
        <v>0</v>
      </c>
      <c r="E21" s="25" t="n">
        <v>2</v>
      </c>
    </row>
    <row r="22" customFormat="false" ht="15" hidden="false" customHeight="false" outlineLevel="0" collapsed="false">
      <c r="A22" s="25"/>
      <c r="B22" s="24" t="s">
        <v>37</v>
      </c>
      <c r="C22" s="25" t="n">
        <v>0</v>
      </c>
      <c r="D22" s="25" t="n">
        <v>1</v>
      </c>
      <c r="E22" s="25" t="n">
        <v>1</v>
      </c>
    </row>
    <row r="23" customFormat="false" ht="15" hidden="false" customHeight="false" outlineLevel="0" collapsed="false">
      <c r="A23" s="27"/>
      <c r="B23" s="28" t="s">
        <v>22</v>
      </c>
      <c r="C23" s="27" t="n">
        <v>3</v>
      </c>
      <c r="D23" s="27" t="n">
        <v>3</v>
      </c>
      <c r="E23" s="27" t="n">
        <v>6</v>
      </c>
    </row>
    <row r="24" customFormat="false" ht="25.5" hidden="false" customHeight="false" outlineLevel="0" collapsed="false">
      <c r="A24" s="24" t="s">
        <v>86</v>
      </c>
      <c r="B24" s="24" t="s">
        <v>39</v>
      </c>
      <c r="C24" s="25" t="n">
        <v>0</v>
      </c>
      <c r="D24" s="25" t="n">
        <v>0</v>
      </c>
      <c r="E24" s="25" t="n">
        <v>0</v>
      </c>
    </row>
    <row r="25" customFormat="false" ht="15" hidden="false" customHeight="false" outlineLevel="0" collapsed="false">
      <c r="A25" s="25"/>
      <c r="B25" s="24" t="s">
        <v>40</v>
      </c>
      <c r="C25" s="25" t="n">
        <v>2</v>
      </c>
      <c r="D25" s="25" t="n">
        <v>0</v>
      </c>
      <c r="E25" s="25" t="n">
        <v>2</v>
      </c>
    </row>
    <row r="26" customFormat="false" ht="15" hidden="false" customHeight="false" outlineLevel="0" collapsed="false">
      <c r="A26" s="25"/>
      <c r="B26" s="24" t="s">
        <v>41</v>
      </c>
      <c r="C26" s="25" t="n">
        <v>8</v>
      </c>
      <c r="D26" s="25" t="n">
        <v>8</v>
      </c>
      <c r="E26" s="25" t="n">
        <v>16</v>
      </c>
    </row>
    <row r="27" customFormat="false" ht="15" hidden="false" customHeight="false" outlineLevel="0" collapsed="false">
      <c r="A27" s="25"/>
      <c r="B27" s="24" t="s">
        <v>42</v>
      </c>
      <c r="C27" s="25" t="n">
        <v>2</v>
      </c>
      <c r="D27" s="25" t="n">
        <v>0</v>
      </c>
      <c r="E27" s="25" t="n">
        <v>2</v>
      </c>
    </row>
    <row r="28" customFormat="false" ht="15" hidden="false" customHeight="false" outlineLevel="0" collapsed="false">
      <c r="A28" s="27"/>
      <c r="B28" s="28" t="s">
        <v>22</v>
      </c>
      <c r="C28" s="27" t="n">
        <v>12</v>
      </c>
      <c r="D28" s="27" t="n">
        <v>8</v>
      </c>
      <c r="E28" s="27" t="n">
        <v>20</v>
      </c>
    </row>
    <row r="29" customFormat="false" ht="15" hidden="false" customHeight="false" outlineLevel="0" collapsed="false">
      <c r="A29" s="24" t="s">
        <v>87</v>
      </c>
      <c r="B29" s="24" t="s">
        <v>44</v>
      </c>
      <c r="C29" s="25" t="n">
        <v>19</v>
      </c>
      <c r="D29" s="25" t="n">
        <v>0</v>
      </c>
      <c r="E29" s="25" t="n">
        <v>19</v>
      </c>
    </row>
    <row r="30" customFormat="false" ht="25.5" hidden="false" customHeight="false" outlineLevel="0" collapsed="false">
      <c r="A30" s="25"/>
      <c r="B30" s="24" t="s">
        <v>45</v>
      </c>
      <c r="C30" s="25" t="n">
        <v>1</v>
      </c>
      <c r="D30" s="25" t="n">
        <v>0</v>
      </c>
      <c r="E30" s="25" t="n">
        <v>1</v>
      </c>
    </row>
    <row r="31" customFormat="false" ht="15" hidden="false" customHeight="false" outlineLevel="0" collapsed="false">
      <c r="A31" s="25"/>
      <c r="B31" s="24" t="s">
        <v>46</v>
      </c>
      <c r="C31" s="25" t="n">
        <v>38</v>
      </c>
      <c r="D31" s="25" t="n">
        <v>19</v>
      </c>
      <c r="E31" s="25" t="n">
        <v>57</v>
      </c>
    </row>
    <row r="32" customFormat="false" ht="15" hidden="false" customHeight="false" outlineLevel="0" collapsed="false">
      <c r="A32" s="27"/>
      <c r="B32" s="28" t="s">
        <v>22</v>
      </c>
      <c r="C32" s="27" t="n">
        <v>58</v>
      </c>
      <c r="D32" s="27" t="n">
        <v>19</v>
      </c>
      <c r="E32" s="27" t="n">
        <v>77</v>
      </c>
    </row>
    <row r="33" customFormat="false" ht="15" hidden="false" customHeight="false" outlineLevel="0" collapsed="false">
      <c r="A33" s="24" t="s">
        <v>90</v>
      </c>
      <c r="B33" s="24" t="s">
        <v>91</v>
      </c>
      <c r="C33" s="25" t="n">
        <v>0</v>
      </c>
      <c r="D33" s="25" t="n">
        <v>0</v>
      </c>
      <c r="E33" s="25" t="n">
        <v>0</v>
      </c>
    </row>
    <row r="34" customFormat="false" ht="15" hidden="false" customHeight="false" outlineLevel="0" collapsed="false">
      <c r="A34" s="25"/>
      <c r="B34" s="24" t="s">
        <v>92</v>
      </c>
      <c r="C34" s="25" t="n">
        <v>18</v>
      </c>
      <c r="D34" s="25" t="n">
        <v>6</v>
      </c>
      <c r="E34" s="25" t="n">
        <v>24</v>
      </c>
    </row>
    <row r="35" customFormat="false" ht="15" hidden="false" customHeight="false" outlineLevel="0" collapsed="false">
      <c r="A35" s="25"/>
      <c r="B35" s="24" t="s">
        <v>93</v>
      </c>
      <c r="C35" s="25" t="n">
        <v>0</v>
      </c>
      <c r="D35" s="25" t="n">
        <v>0</v>
      </c>
      <c r="E35" s="25" t="n">
        <v>0</v>
      </c>
    </row>
    <row r="36" customFormat="false" ht="15" hidden="false" customHeight="false" outlineLevel="0" collapsed="false">
      <c r="A36" s="25"/>
      <c r="B36" s="24" t="s">
        <v>94</v>
      </c>
      <c r="C36" s="25" t="n">
        <v>15</v>
      </c>
      <c r="D36" s="25" t="n">
        <v>5</v>
      </c>
      <c r="E36" s="25" t="n">
        <v>20</v>
      </c>
    </row>
    <row r="37" customFormat="false" ht="15" hidden="false" customHeight="false" outlineLevel="0" collapsed="false">
      <c r="A37" s="25"/>
      <c r="B37" s="24" t="s">
        <v>95</v>
      </c>
      <c r="C37" s="25" t="n">
        <v>16</v>
      </c>
      <c r="D37" s="25" t="n">
        <v>9</v>
      </c>
      <c r="E37" s="25" t="n">
        <v>25</v>
      </c>
    </row>
    <row r="38" customFormat="false" ht="15" hidden="false" customHeight="false" outlineLevel="0" collapsed="false">
      <c r="A38" s="25"/>
      <c r="B38" s="24" t="s">
        <v>96</v>
      </c>
      <c r="C38" s="25" t="n">
        <v>20</v>
      </c>
      <c r="D38" s="25" t="n">
        <v>9</v>
      </c>
      <c r="E38" s="25" t="n">
        <v>29</v>
      </c>
    </row>
    <row r="39" customFormat="false" ht="15" hidden="false" customHeight="false" outlineLevel="0" collapsed="false">
      <c r="A39" s="25"/>
      <c r="B39" s="24" t="s">
        <v>97</v>
      </c>
      <c r="C39" s="25" t="n">
        <v>12</v>
      </c>
      <c r="D39" s="25" t="n">
        <v>0</v>
      </c>
      <c r="E39" s="25" t="n">
        <v>12</v>
      </c>
    </row>
    <row r="40" customFormat="false" ht="15" hidden="false" customHeight="false" outlineLevel="0" collapsed="false">
      <c r="A40" s="25"/>
      <c r="B40" s="24" t="s">
        <v>98</v>
      </c>
      <c r="C40" s="25" t="n">
        <v>0</v>
      </c>
      <c r="D40" s="25" t="n">
        <v>0</v>
      </c>
      <c r="E40" s="25" t="n">
        <v>0</v>
      </c>
    </row>
    <row r="41" customFormat="false" ht="15" hidden="false" customHeight="false" outlineLevel="0" collapsed="false">
      <c r="A41" s="25"/>
      <c r="B41" s="24" t="s">
        <v>99</v>
      </c>
      <c r="C41" s="25" t="n">
        <v>4</v>
      </c>
      <c r="D41" s="25" t="n">
        <v>3</v>
      </c>
      <c r="E41" s="25" t="n">
        <v>7</v>
      </c>
    </row>
    <row r="42" customFormat="false" ht="15" hidden="false" customHeight="false" outlineLevel="0" collapsed="false">
      <c r="A42" s="27"/>
      <c r="B42" s="28" t="s">
        <v>22</v>
      </c>
      <c r="C42" s="27" t="n">
        <v>85</v>
      </c>
      <c r="D42" s="27" t="n">
        <v>32</v>
      </c>
      <c r="E42" s="27" t="n">
        <v>117</v>
      </c>
    </row>
    <row r="43" customFormat="false" ht="15" hidden="false" customHeight="false" outlineLevel="0" collapsed="false">
      <c r="A43" s="24" t="s">
        <v>100</v>
      </c>
      <c r="B43" s="24" t="s">
        <v>101</v>
      </c>
      <c r="C43" s="25" t="n">
        <v>24</v>
      </c>
      <c r="D43" s="25" t="n">
        <v>11</v>
      </c>
      <c r="E43" s="25" t="n">
        <v>35</v>
      </c>
    </row>
    <row r="44" customFormat="false" ht="15" hidden="false" customHeight="false" outlineLevel="0" collapsed="false">
      <c r="A44" s="25"/>
      <c r="B44" s="24" t="s">
        <v>102</v>
      </c>
      <c r="C44" s="25" t="n">
        <v>0</v>
      </c>
      <c r="D44" s="25" t="n">
        <v>0</v>
      </c>
      <c r="E44" s="25" t="n">
        <v>0</v>
      </c>
    </row>
    <row r="45" customFormat="false" ht="15" hidden="false" customHeight="false" outlineLevel="0" collapsed="false">
      <c r="A45" s="25"/>
      <c r="B45" s="24" t="s">
        <v>103</v>
      </c>
      <c r="C45" s="25" t="n">
        <v>1</v>
      </c>
      <c r="D45" s="25" t="n">
        <v>0</v>
      </c>
      <c r="E45" s="25" t="n">
        <v>1</v>
      </c>
    </row>
    <row r="46" customFormat="false" ht="15" hidden="false" customHeight="false" outlineLevel="0" collapsed="false">
      <c r="A46" s="25"/>
      <c r="B46" s="24" t="s">
        <v>104</v>
      </c>
      <c r="C46" s="25" t="n">
        <v>0</v>
      </c>
      <c r="D46" s="25" t="n">
        <v>0</v>
      </c>
      <c r="E46" s="25" t="n">
        <v>0</v>
      </c>
    </row>
    <row r="47" customFormat="false" ht="15" hidden="false" customHeight="false" outlineLevel="0" collapsed="false">
      <c r="A47" s="25"/>
      <c r="B47" s="24" t="s">
        <v>105</v>
      </c>
      <c r="C47" s="25" t="n">
        <v>0</v>
      </c>
      <c r="D47" s="25" t="n">
        <v>0</v>
      </c>
      <c r="E47" s="25" t="n">
        <v>0</v>
      </c>
    </row>
    <row r="48" customFormat="false" ht="15" hidden="false" customHeight="false" outlineLevel="0" collapsed="false">
      <c r="A48" s="25"/>
      <c r="B48" s="24" t="s">
        <v>106</v>
      </c>
      <c r="C48" s="25" t="n">
        <v>0</v>
      </c>
      <c r="D48" s="25" t="n">
        <v>0</v>
      </c>
      <c r="E48" s="25" t="n">
        <v>0</v>
      </c>
    </row>
    <row r="49" customFormat="false" ht="15" hidden="false" customHeight="false" outlineLevel="0" collapsed="false">
      <c r="A49" s="25"/>
      <c r="B49" s="24" t="s">
        <v>107</v>
      </c>
      <c r="C49" s="25" t="n">
        <v>0</v>
      </c>
      <c r="D49" s="25" t="n">
        <v>0</v>
      </c>
      <c r="E49" s="25" t="n">
        <v>0</v>
      </c>
    </row>
    <row r="50" customFormat="false" ht="15" hidden="false" customHeight="false" outlineLevel="0" collapsed="false">
      <c r="A50" s="25"/>
      <c r="B50" s="24" t="s">
        <v>108</v>
      </c>
      <c r="C50" s="25" t="n">
        <v>2</v>
      </c>
      <c r="D50" s="25" t="n">
        <v>1</v>
      </c>
      <c r="E50" s="25" t="n">
        <v>3</v>
      </c>
    </row>
    <row r="51" customFormat="false" ht="15" hidden="false" customHeight="false" outlineLevel="0" collapsed="false">
      <c r="A51" s="25"/>
      <c r="B51" s="24" t="s">
        <v>109</v>
      </c>
      <c r="C51" s="25" t="n">
        <v>12</v>
      </c>
      <c r="D51" s="25" t="n">
        <v>15</v>
      </c>
      <c r="E51" s="25" t="n">
        <v>27</v>
      </c>
    </row>
    <row r="52" customFormat="false" ht="15" hidden="false" customHeight="false" outlineLevel="0" collapsed="false">
      <c r="A52" s="25"/>
      <c r="B52" s="24" t="s">
        <v>110</v>
      </c>
      <c r="C52" s="25" t="n">
        <v>5</v>
      </c>
      <c r="D52" s="25" t="n">
        <v>3</v>
      </c>
      <c r="E52" s="25" t="n">
        <v>8</v>
      </c>
    </row>
    <row r="53" customFormat="false" ht="15" hidden="false" customHeight="false" outlineLevel="0" collapsed="false">
      <c r="A53" s="25"/>
      <c r="B53" s="24" t="s">
        <v>111</v>
      </c>
      <c r="C53" s="25" t="n">
        <v>0</v>
      </c>
      <c r="D53" s="25" t="n">
        <v>0</v>
      </c>
      <c r="E53" s="25" t="n">
        <v>0</v>
      </c>
    </row>
    <row r="54" customFormat="false" ht="15" hidden="false" customHeight="false" outlineLevel="0" collapsed="false">
      <c r="A54" s="25"/>
      <c r="B54" s="24" t="s">
        <v>112</v>
      </c>
      <c r="C54" s="25" t="n">
        <v>0</v>
      </c>
      <c r="D54" s="25" t="n">
        <v>0</v>
      </c>
      <c r="E54" s="25" t="n">
        <v>0</v>
      </c>
    </row>
    <row r="55" customFormat="false" ht="15" hidden="false" customHeight="false" outlineLevel="0" collapsed="false">
      <c r="A55" s="25"/>
      <c r="B55" s="24" t="s">
        <v>113</v>
      </c>
      <c r="C55" s="25" t="n">
        <v>0</v>
      </c>
      <c r="D55" s="25" t="n">
        <v>0</v>
      </c>
      <c r="E55" s="25" t="n">
        <v>0</v>
      </c>
    </row>
    <row r="56" customFormat="false" ht="15" hidden="false" customHeight="false" outlineLevel="0" collapsed="false">
      <c r="A56" s="25"/>
      <c r="B56" s="24" t="s">
        <v>114</v>
      </c>
      <c r="C56" s="25" t="n">
        <v>0</v>
      </c>
      <c r="D56" s="25" t="n">
        <v>0</v>
      </c>
      <c r="E56" s="25" t="n">
        <v>0</v>
      </c>
    </row>
    <row r="57" customFormat="false" ht="15" hidden="false" customHeight="false" outlineLevel="0" collapsed="false">
      <c r="A57" s="25"/>
      <c r="B57" s="24" t="s">
        <v>115</v>
      </c>
      <c r="C57" s="25" t="n">
        <v>9</v>
      </c>
      <c r="D57" s="25" t="n">
        <v>5</v>
      </c>
      <c r="E57" s="25" t="n">
        <v>14</v>
      </c>
    </row>
    <row r="58" customFormat="false" ht="15" hidden="false" customHeight="false" outlineLevel="0" collapsed="false">
      <c r="A58" s="25"/>
      <c r="B58" s="24" t="s">
        <v>116</v>
      </c>
      <c r="C58" s="25" t="n">
        <v>1</v>
      </c>
      <c r="D58" s="25" t="n">
        <v>0</v>
      </c>
      <c r="E58" s="25" t="n">
        <v>1</v>
      </c>
    </row>
    <row r="59" customFormat="false" ht="15" hidden="false" customHeight="false" outlineLevel="0" collapsed="false">
      <c r="A59" s="27"/>
      <c r="B59" s="28" t="s">
        <v>22</v>
      </c>
      <c r="C59" s="27" t="n">
        <v>54</v>
      </c>
      <c r="D59" s="27" t="n">
        <v>35</v>
      </c>
      <c r="E59" s="27" t="n">
        <v>89</v>
      </c>
    </row>
    <row r="60" customFormat="false" ht="25.5" hidden="false" customHeight="false" outlineLevel="0" collapsed="false">
      <c r="A60" s="30"/>
      <c r="B60" s="30" t="s">
        <v>74</v>
      </c>
      <c r="C60" s="31" t="n">
        <v>223</v>
      </c>
      <c r="D60" s="31" t="n">
        <v>99</v>
      </c>
      <c r="E60" s="31" t="n">
        <v>322</v>
      </c>
    </row>
    <row r="61" customFormat="false" ht="25.5" hidden="false" customHeight="false" outlineLevel="0" collapsed="false">
      <c r="A61" s="32"/>
      <c r="B61" s="32" t="s">
        <v>117</v>
      </c>
      <c r="C61" s="33" t="n">
        <v>0.692546583850932</v>
      </c>
      <c r="D61" s="33" t="n">
        <v>0.307453416149068</v>
      </c>
      <c r="E61" s="33" t="n">
        <v>1</v>
      </c>
    </row>
  </sheetData>
  <mergeCells count="1">
    <mergeCell ref="C2:H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5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0" t="s">
        <v>266</v>
      </c>
      <c r="C1" s="0" t="s">
        <v>279</v>
      </c>
    </row>
    <row r="2" customFormat="false" ht="15" hidden="false" customHeight="false" outlineLevel="0" collapsed="false">
      <c r="B2" s="0" t="s">
        <v>1</v>
      </c>
      <c r="C2" s="181" t="s">
        <v>280</v>
      </c>
      <c r="D2" s="181"/>
      <c r="E2" s="181"/>
    </row>
    <row r="3" customFormat="false" ht="38.25" hidden="false" customHeight="false" outlineLevel="0" collapsed="false">
      <c r="A3" s="23" t="s">
        <v>2</v>
      </c>
      <c r="B3" s="23" t="s">
        <v>77</v>
      </c>
      <c r="C3" s="23" t="s">
        <v>281</v>
      </c>
      <c r="D3" s="23" t="s">
        <v>270</v>
      </c>
      <c r="E3" s="23" t="s">
        <v>282</v>
      </c>
      <c r="F3" s="138" t="s">
        <v>283</v>
      </c>
      <c r="G3" s="138" t="s">
        <v>284</v>
      </c>
    </row>
    <row r="4" customFormat="false" ht="15" hidden="false" customHeight="false" outlineLevel="0" collapsed="false">
      <c r="A4" s="24" t="s">
        <v>81</v>
      </c>
      <c r="B4" s="24" t="s">
        <v>18</v>
      </c>
      <c r="C4" s="25" t="n">
        <v>0</v>
      </c>
      <c r="D4" s="25" t="n">
        <v>0</v>
      </c>
      <c r="E4" s="25" t="n">
        <v>0</v>
      </c>
    </row>
    <row r="5" customFormat="false" ht="15" hidden="false" customHeight="false" outlineLevel="0" collapsed="false">
      <c r="A5" s="26"/>
      <c r="B5" s="24" t="s">
        <v>19</v>
      </c>
      <c r="C5" s="25" t="n">
        <v>4</v>
      </c>
      <c r="D5" s="25" t="n">
        <v>0</v>
      </c>
      <c r="E5" s="25" t="n">
        <v>4</v>
      </c>
    </row>
    <row r="6" customFormat="false" ht="15" hidden="false" customHeight="false" outlineLevel="0" collapsed="false">
      <c r="A6" s="26"/>
      <c r="B6" s="24" t="s">
        <v>20</v>
      </c>
      <c r="C6" s="25" t="n">
        <v>0</v>
      </c>
      <c r="D6" s="25" t="n">
        <v>0</v>
      </c>
      <c r="E6" s="25" t="n">
        <v>0</v>
      </c>
    </row>
    <row r="7" customFormat="false" ht="15" hidden="false" customHeight="false" outlineLevel="0" collapsed="false">
      <c r="A7" s="26"/>
      <c r="B7" s="24" t="s">
        <v>21</v>
      </c>
      <c r="C7" s="25" t="n">
        <v>1</v>
      </c>
      <c r="D7" s="25" t="n">
        <v>1</v>
      </c>
      <c r="E7" s="25" t="n">
        <v>2</v>
      </c>
    </row>
    <row r="8" customFormat="false" ht="15" hidden="false" customHeight="false" outlineLevel="0" collapsed="false">
      <c r="A8" s="27"/>
      <c r="B8" s="28" t="s">
        <v>22</v>
      </c>
      <c r="C8" s="27" t="n">
        <v>5</v>
      </c>
      <c r="D8" s="27" t="n">
        <v>1</v>
      </c>
      <c r="E8" s="27" t="n">
        <v>6</v>
      </c>
    </row>
    <row r="9" customFormat="false" ht="15" hidden="false" customHeight="false" outlineLevel="0" collapsed="false">
      <c r="A9" s="24" t="s">
        <v>82</v>
      </c>
      <c r="B9" s="24" t="s">
        <v>24</v>
      </c>
      <c r="C9" s="25" t="n">
        <v>0</v>
      </c>
      <c r="D9" s="25" t="n">
        <v>0</v>
      </c>
      <c r="E9" s="25" t="n">
        <v>0</v>
      </c>
    </row>
    <row r="10" customFormat="false" ht="15" hidden="false" customHeight="false" outlineLevel="0" collapsed="false">
      <c r="A10" s="29"/>
      <c r="B10" s="24" t="s">
        <v>25</v>
      </c>
      <c r="C10" s="25" t="n">
        <v>3</v>
      </c>
      <c r="D10" s="25" t="n">
        <v>0</v>
      </c>
      <c r="E10" s="25" t="n">
        <v>3</v>
      </c>
    </row>
    <row r="11" customFormat="false" ht="15" hidden="false" customHeight="false" outlineLevel="0" collapsed="false">
      <c r="A11" s="29"/>
      <c r="B11" s="24" t="s">
        <v>26</v>
      </c>
      <c r="C11" s="25" t="n">
        <v>1</v>
      </c>
      <c r="D11" s="25" t="n">
        <v>0</v>
      </c>
      <c r="E11" s="25" t="n">
        <v>1</v>
      </c>
    </row>
    <row r="12" customFormat="false" ht="15" hidden="false" customHeight="false" outlineLevel="0" collapsed="false">
      <c r="A12" s="29"/>
      <c r="B12" s="24" t="s">
        <v>27</v>
      </c>
      <c r="C12" s="25" t="n">
        <v>1</v>
      </c>
      <c r="D12" s="25" t="n">
        <v>1</v>
      </c>
      <c r="E12" s="25" t="n">
        <v>2</v>
      </c>
    </row>
    <row r="13" customFormat="false" ht="15" hidden="false" customHeight="false" outlineLevel="0" collapsed="false">
      <c r="A13" s="27"/>
      <c r="B13" s="28" t="s">
        <v>22</v>
      </c>
      <c r="C13" s="27" t="n">
        <v>5</v>
      </c>
      <c r="D13" s="27" t="n">
        <v>1</v>
      </c>
      <c r="E13" s="27" t="n">
        <v>6</v>
      </c>
    </row>
    <row r="14" customFormat="false" ht="15" hidden="false" customHeight="false" outlineLevel="0" collapsed="false">
      <c r="A14" s="24" t="s">
        <v>83</v>
      </c>
      <c r="B14" s="24" t="s">
        <v>29</v>
      </c>
      <c r="C14" s="25" t="n">
        <v>0</v>
      </c>
      <c r="D14" s="25" t="n">
        <v>0</v>
      </c>
      <c r="E14" s="25" t="n">
        <v>0</v>
      </c>
    </row>
    <row r="15" customFormat="false" ht="15" hidden="false" customHeight="false" outlineLevel="0" collapsed="false">
      <c r="A15" s="27"/>
      <c r="B15" s="28" t="s">
        <v>22</v>
      </c>
      <c r="C15" s="27" t="n">
        <v>0</v>
      </c>
      <c r="D15" s="27" t="n">
        <v>0</v>
      </c>
      <c r="E15" s="27" t="n">
        <v>0</v>
      </c>
    </row>
    <row r="16" customFormat="false" ht="15" hidden="false" customHeight="false" outlineLevel="0" collapsed="false">
      <c r="A16" s="24" t="s">
        <v>84</v>
      </c>
      <c r="B16" s="24" t="s">
        <v>31</v>
      </c>
      <c r="C16" s="25" t="n">
        <v>0</v>
      </c>
      <c r="D16" s="25" t="n">
        <v>0</v>
      </c>
      <c r="E16" s="25" t="n">
        <v>0</v>
      </c>
    </row>
    <row r="17" customFormat="false" ht="15" hidden="false" customHeight="false" outlineLevel="0" collapsed="false">
      <c r="A17" s="25"/>
      <c r="B17" s="24" t="s">
        <v>32</v>
      </c>
      <c r="C17" s="25" t="n">
        <v>1</v>
      </c>
      <c r="D17" s="25" t="n">
        <v>0</v>
      </c>
      <c r="E17" s="25" t="n">
        <v>1</v>
      </c>
    </row>
    <row r="18" customFormat="false" ht="15" hidden="false" customHeight="false" outlineLevel="0" collapsed="false">
      <c r="A18" s="25"/>
      <c r="B18" s="24" t="s">
        <v>33</v>
      </c>
      <c r="C18" s="25" t="n">
        <v>0</v>
      </c>
      <c r="D18" s="25" t="n">
        <v>0</v>
      </c>
      <c r="E18" s="25" t="n">
        <v>0</v>
      </c>
    </row>
    <row r="19" customFormat="false" ht="15" hidden="false" customHeight="false" outlineLevel="0" collapsed="false">
      <c r="A19" s="27"/>
      <c r="B19" s="28" t="s">
        <v>22</v>
      </c>
      <c r="C19" s="27" t="n">
        <v>1</v>
      </c>
      <c r="D19" s="27" t="n">
        <v>0</v>
      </c>
      <c r="E19" s="27" t="n">
        <v>1</v>
      </c>
    </row>
    <row r="20" customFormat="false" ht="25.5" hidden="false" customHeight="false" outlineLevel="0" collapsed="false">
      <c r="A20" s="24" t="s">
        <v>85</v>
      </c>
      <c r="B20" s="24" t="s">
        <v>35</v>
      </c>
      <c r="C20" s="25" t="n">
        <v>1</v>
      </c>
      <c r="D20" s="25" t="n">
        <v>2</v>
      </c>
      <c r="E20" s="25" t="n">
        <v>3</v>
      </c>
    </row>
    <row r="21" customFormat="false" ht="15" hidden="false" customHeight="false" outlineLevel="0" collapsed="false">
      <c r="A21" s="25"/>
      <c r="B21" s="24" t="s">
        <v>36</v>
      </c>
      <c r="C21" s="25" t="n">
        <v>2</v>
      </c>
      <c r="D21" s="25" t="n">
        <v>0</v>
      </c>
      <c r="E21" s="25" t="n">
        <v>2</v>
      </c>
    </row>
    <row r="22" customFormat="false" ht="15" hidden="false" customHeight="false" outlineLevel="0" collapsed="false">
      <c r="A22" s="25"/>
      <c r="B22" s="24" t="s">
        <v>37</v>
      </c>
      <c r="C22" s="25" t="n">
        <v>0</v>
      </c>
      <c r="D22" s="25" t="n">
        <v>1</v>
      </c>
      <c r="E22" s="25" t="n">
        <v>1</v>
      </c>
    </row>
    <row r="23" customFormat="false" ht="15" hidden="false" customHeight="false" outlineLevel="0" collapsed="false">
      <c r="A23" s="27"/>
      <c r="B23" s="28" t="s">
        <v>22</v>
      </c>
      <c r="C23" s="27" t="n">
        <v>3</v>
      </c>
      <c r="D23" s="27" t="n">
        <v>3</v>
      </c>
      <c r="E23" s="27" t="n">
        <v>6</v>
      </c>
    </row>
    <row r="24" customFormat="false" ht="25.5" hidden="false" customHeight="false" outlineLevel="0" collapsed="false">
      <c r="A24" s="24" t="s">
        <v>86</v>
      </c>
      <c r="B24" s="24" t="s">
        <v>39</v>
      </c>
      <c r="C24" s="25" t="n">
        <v>0</v>
      </c>
      <c r="D24" s="25" t="n">
        <v>0</v>
      </c>
      <c r="E24" s="25" t="n">
        <v>0</v>
      </c>
    </row>
    <row r="25" customFormat="false" ht="15" hidden="false" customHeight="false" outlineLevel="0" collapsed="false">
      <c r="A25" s="25"/>
      <c r="B25" s="24" t="s">
        <v>40</v>
      </c>
      <c r="C25" s="25" t="n">
        <v>2</v>
      </c>
      <c r="D25" s="25" t="n">
        <v>0</v>
      </c>
      <c r="E25" s="25" t="n">
        <v>2</v>
      </c>
    </row>
    <row r="26" customFormat="false" ht="15" hidden="false" customHeight="false" outlineLevel="0" collapsed="false">
      <c r="A26" s="25"/>
      <c r="B26" s="24" t="s">
        <v>41</v>
      </c>
      <c r="C26" s="25" t="n">
        <v>8</v>
      </c>
      <c r="D26" s="25" t="n">
        <v>8</v>
      </c>
      <c r="E26" s="25" t="n">
        <v>16</v>
      </c>
    </row>
    <row r="27" customFormat="false" ht="15" hidden="false" customHeight="false" outlineLevel="0" collapsed="false">
      <c r="A27" s="25"/>
      <c r="B27" s="24" t="s">
        <v>42</v>
      </c>
      <c r="C27" s="25" t="n">
        <v>2</v>
      </c>
      <c r="D27" s="25" t="n">
        <v>0</v>
      </c>
      <c r="E27" s="25" t="n">
        <v>2</v>
      </c>
    </row>
    <row r="28" customFormat="false" ht="15" hidden="false" customHeight="false" outlineLevel="0" collapsed="false">
      <c r="A28" s="27"/>
      <c r="B28" s="28" t="s">
        <v>22</v>
      </c>
      <c r="C28" s="27" t="n">
        <v>12</v>
      </c>
      <c r="D28" s="27" t="n">
        <v>8</v>
      </c>
      <c r="E28" s="27" t="n">
        <v>20</v>
      </c>
    </row>
    <row r="29" customFormat="false" ht="15" hidden="false" customHeight="false" outlineLevel="0" collapsed="false">
      <c r="A29" s="24" t="s">
        <v>87</v>
      </c>
      <c r="B29" s="24" t="s">
        <v>44</v>
      </c>
      <c r="C29" s="25" t="n">
        <v>19</v>
      </c>
      <c r="D29" s="25" t="n">
        <v>0</v>
      </c>
      <c r="E29" s="25" t="n">
        <v>19</v>
      </c>
    </row>
    <row r="30" customFormat="false" ht="25.5" hidden="false" customHeight="false" outlineLevel="0" collapsed="false">
      <c r="A30" s="25"/>
      <c r="B30" s="24" t="s">
        <v>45</v>
      </c>
      <c r="C30" s="25" t="n">
        <v>1</v>
      </c>
      <c r="D30" s="25" t="n">
        <v>0</v>
      </c>
      <c r="E30" s="25" t="n">
        <v>1</v>
      </c>
    </row>
    <row r="31" customFormat="false" ht="15" hidden="false" customHeight="false" outlineLevel="0" collapsed="false">
      <c r="A31" s="25"/>
      <c r="B31" s="24" t="s">
        <v>46</v>
      </c>
      <c r="C31" s="25" t="n">
        <v>38</v>
      </c>
      <c r="D31" s="25" t="n">
        <v>19</v>
      </c>
      <c r="E31" s="25" t="n">
        <v>57</v>
      </c>
    </row>
    <row r="32" customFormat="false" ht="15" hidden="false" customHeight="false" outlineLevel="0" collapsed="false">
      <c r="A32" s="27"/>
      <c r="B32" s="28" t="s">
        <v>22</v>
      </c>
      <c r="C32" s="27" t="n">
        <v>58</v>
      </c>
      <c r="D32" s="27" t="n">
        <v>19</v>
      </c>
      <c r="E32" s="27" t="n">
        <v>77</v>
      </c>
    </row>
    <row r="33" customFormat="false" ht="15" hidden="false" customHeight="false" outlineLevel="0" collapsed="false">
      <c r="A33" s="24" t="s">
        <v>90</v>
      </c>
      <c r="B33" s="24" t="s">
        <v>91</v>
      </c>
      <c r="C33" s="25" t="n">
        <v>0</v>
      </c>
      <c r="D33" s="25" t="n">
        <v>0</v>
      </c>
      <c r="E33" s="25" t="n">
        <v>0</v>
      </c>
    </row>
    <row r="34" customFormat="false" ht="15" hidden="false" customHeight="false" outlineLevel="0" collapsed="false">
      <c r="A34" s="25"/>
      <c r="B34" s="24" t="s">
        <v>92</v>
      </c>
      <c r="C34" s="25" t="n">
        <v>18</v>
      </c>
      <c r="D34" s="25" t="n">
        <v>6</v>
      </c>
      <c r="E34" s="25" t="n">
        <v>24</v>
      </c>
    </row>
    <row r="35" customFormat="false" ht="15" hidden="false" customHeight="false" outlineLevel="0" collapsed="false">
      <c r="A35" s="25"/>
      <c r="B35" s="24" t="s">
        <v>93</v>
      </c>
      <c r="C35" s="25" t="n">
        <v>0</v>
      </c>
      <c r="D35" s="25" t="n">
        <v>0</v>
      </c>
      <c r="E35" s="25" t="n">
        <v>0</v>
      </c>
    </row>
    <row r="36" customFormat="false" ht="15" hidden="false" customHeight="false" outlineLevel="0" collapsed="false">
      <c r="A36" s="25"/>
      <c r="B36" s="24" t="s">
        <v>94</v>
      </c>
      <c r="C36" s="25" t="n">
        <v>15</v>
      </c>
      <c r="D36" s="25" t="n">
        <v>5</v>
      </c>
      <c r="E36" s="25" t="n">
        <v>20</v>
      </c>
    </row>
    <row r="37" customFormat="false" ht="15" hidden="false" customHeight="false" outlineLevel="0" collapsed="false">
      <c r="A37" s="25"/>
      <c r="B37" s="24" t="s">
        <v>95</v>
      </c>
      <c r="C37" s="25" t="n">
        <v>16</v>
      </c>
      <c r="D37" s="25" t="n">
        <v>9</v>
      </c>
      <c r="E37" s="25" t="n">
        <v>25</v>
      </c>
    </row>
    <row r="38" customFormat="false" ht="15" hidden="false" customHeight="false" outlineLevel="0" collapsed="false">
      <c r="A38" s="25"/>
      <c r="B38" s="24" t="s">
        <v>96</v>
      </c>
      <c r="C38" s="25" t="n">
        <v>20</v>
      </c>
      <c r="D38" s="25" t="n">
        <v>9</v>
      </c>
      <c r="E38" s="25" t="n">
        <v>29</v>
      </c>
    </row>
    <row r="39" customFormat="false" ht="15" hidden="false" customHeight="false" outlineLevel="0" collapsed="false">
      <c r="A39" s="25"/>
      <c r="B39" s="24" t="s">
        <v>97</v>
      </c>
      <c r="C39" s="25" t="n">
        <v>12</v>
      </c>
      <c r="D39" s="25" t="n">
        <v>0</v>
      </c>
      <c r="E39" s="25" t="n">
        <v>12</v>
      </c>
    </row>
    <row r="40" customFormat="false" ht="15" hidden="false" customHeight="false" outlineLevel="0" collapsed="false">
      <c r="A40" s="25"/>
      <c r="B40" s="24" t="s">
        <v>98</v>
      </c>
      <c r="C40" s="25" t="n">
        <v>0</v>
      </c>
      <c r="D40" s="25" t="n">
        <v>0</v>
      </c>
      <c r="E40" s="25" t="n">
        <v>0</v>
      </c>
    </row>
    <row r="41" customFormat="false" ht="15" hidden="false" customHeight="false" outlineLevel="0" collapsed="false">
      <c r="A41" s="25"/>
      <c r="B41" s="24" t="s">
        <v>99</v>
      </c>
      <c r="C41" s="25" t="n">
        <v>4</v>
      </c>
      <c r="D41" s="25" t="n">
        <v>3</v>
      </c>
      <c r="E41" s="25" t="n">
        <v>7</v>
      </c>
    </row>
    <row r="42" customFormat="false" ht="15" hidden="false" customHeight="false" outlineLevel="0" collapsed="false">
      <c r="A42" s="27"/>
      <c r="B42" s="28" t="s">
        <v>22</v>
      </c>
      <c r="C42" s="27" t="n">
        <v>85</v>
      </c>
      <c r="D42" s="27" t="n">
        <v>32</v>
      </c>
      <c r="E42" s="27" t="n">
        <v>117</v>
      </c>
    </row>
    <row r="43" customFormat="false" ht="15" hidden="false" customHeight="false" outlineLevel="0" collapsed="false">
      <c r="A43" s="24" t="s">
        <v>100</v>
      </c>
      <c r="B43" s="24" t="s">
        <v>101</v>
      </c>
      <c r="C43" s="25" t="n">
        <v>24</v>
      </c>
      <c r="D43" s="25" t="n">
        <v>11</v>
      </c>
      <c r="E43" s="25" t="n">
        <v>35</v>
      </c>
    </row>
    <row r="44" customFormat="false" ht="15" hidden="false" customHeight="false" outlineLevel="0" collapsed="false">
      <c r="A44" s="25"/>
      <c r="B44" s="24" t="s">
        <v>102</v>
      </c>
      <c r="C44" s="25" t="n">
        <v>0</v>
      </c>
      <c r="D44" s="25" t="n">
        <v>0</v>
      </c>
      <c r="E44" s="25" t="n">
        <v>0</v>
      </c>
    </row>
    <row r="45" customFormat="false" ht="15" hidden="false" customHeight="false" outlineLevel="0" collapsed="false">
      <c r="A45" s="25"/>
      <c r="B45" s="24" t="s">
        <v>103</v>
      </c>
      <c r="C45" s="25" t="n">
        <v>1</v>
      </c>
      <c r="D45" s="25" t="n">
        <v>0</v>
      </c>
      <c r="E45" s="25" t="n">
        <v>1</v>
      </c>
    </row>
    <row r="46" customFormat="false" ht="15" hidden="false" customHeight="false" outlineLevel="0" collapsed="false">
      <c r="A46" s="25"/>
      <c r="B46" s="24" t="s">
        <v>104</v>
      </c>
      <c r="C46" s="25" t="n">
        <v>0</v>
      </c>
      <c r="D46" s="25" t="n">
        <v>0</v>
      </c>
      <c r="E46" s="25" t="n">
        <v>0</v>
      </c>
    </row>
    <row r="47" customFormat="false" ht="15" hidden="false" customHeight="false" outlineLevel="0" collapsed="false">
      <c r="A47" s="25"/>
      <c r="B47" s="24" t="s">
        <v>105</v>
      </c>
      <c r="C47" s="25" t="n">
        <v>0</v>
      </c>
      <c r="D47" s="25" t="n">
        <v>0</v>
      </c>
      <c r="E47" s="25" t="n">
        <v>0</v>
      </c>
    </row>
    <row r="48" customFormat="false" ht="15" hidden="false" customHeight="false" outlineLevel="0" collapsed="false">
      <c r="A48" s="25"/>
      <c r="B48" s="24" t="s">
        <v>106</v>
      </c>
      <c r="C48" s="25" t="n">
        <v>0</v>
      </c>
      <c r="D48" s="25" t="n">
        <v>0</v>
      </c>
      <c r="E48" s="25" t="n">
        <v>0</v>
      </c>
    </row>
    <row r="49" customFormat="false" ht="15" hidden="false" customHeight="false" outlineLevel="0" collapsed="false">
      <c r="A49" s="25"/>
      <c r="B49" s="24" t="s">
        <v>107</v>
      </c>
      <c r="C49" s="25" t="n">
        <v>0</v>
      </c>
      <c r="D49" s="25" t="n">
        <v>0</v>
      </c>
      <c r="E49" s="25" t="n">
        <v>0</v>
      </c>
    </row>
    <row r="50" customFormat="false" ht="15" hidden="false" customHeight="false" outlineLevel="0" collapsed="false">
      <c r="A50" s="25"/>
      <c r="B50" s="24" t="s">
        <v>108</v>
      </c>
      <c r="C50" s="25" t="n">
        <v>2</v>
      </c>
      <c r="D50" s="25" t="n">
        <v>1</v>
      </c>
      <c r="E50" s="25" t="n">
        <v>3</v>
      </c>
    </row>
    <row r="51" customFormat="false" ht="15" hidden="false" customHeight="false" outlineLevel="0" collapsed="false">
      <c r="A51" s="25"/>
      <c r="B51" s="24" t="s">
        <v>109</v>
      </c>
      <c r="C51" s="25" t="n">
        <v>12</v>
      </c>
      <c r="D51" s="25" t="n">
        <v>15</v>
      </c>
      <c r="E51" s="25" t="n">
        <v>27</v>
      </c>
    </row>
    <row r="52" customFormat="false" ht="15" hidden="false" customHeight="false" outlineLevel="0" collapsed="false">
      <c r="A52" s="25"/>
      <c r="B52" s="24" t="s">
        <v>110</v>
      </c>
      <c r="C52" s="25" t="n">
        <v>5</v>
      </c>
      <c r="D52" s="25" t="n">
        <v>3</v>
      </c>
      <c r="E52" s="25" t="n">
        <v>8</v>
      </c>
    </row>
    <row r="53" customFormat="false" ht="15" hidden="false" customHeight="false" outlineLevel="0" collapsed="false">
      <c r="A53" s="25"/>
      <c r="B53" s="24" t="s">
        <v>111</v>
      </c>
      <c r="C53" s="25" t="n">
        <v>0</v>
      </c>
      <c r="D53" s="25" t="n">
        <v>0</v>
      </c>
      <c r="E53" s="25" t="n">
        <v>0</v>
      </c>
    </row>
    <row r="54" customFormat="false" ht="15" hidden="false" customHeight="false" outlineLevel="0" collapsed="false">
      <c r="A54" s="25"/>
      <c r="B54" s="24" t="s">
        <v>112</v>
      </c>
      <c r="C54" s="25" t="n">
        <v>0</v>
      </c>
      <c r="D54" s="25" t="n">
        <v>0</v>
      </c>
      <c r="E54" s="25" t="n">
        <v>0</v>
      </c>
    </row>
    <row r="55" customFormat="false" ht="15" hidden="false" customHeight="false" outlineLevel="0" collapsed="false">
      <c r="A55" s="25"/>
      <c r="B55" s="24" t="s">
        <v>113</v>
      </c>
      <c r="C55" s="25" t="n">
        <v>0</v>
      </c>
      <c r="D55" s="25" t="n">
        <v>0</v>
      </c>
      <c r="E55" s="25" t="n">
        <v>0</v>
      </c>
    </row>
    <row r="56" customFormat="false" ht="15" hidden="false" customHeight="false" outlineLevel="0" collapsed="false">
      <c r="A56" s="25"/>
      <c r="B56" s="24" t="s">
        <v>114</v>
      </c>
      <c r="C56" s="25" t="n">
        <v>0</v>
      </c>
      <c r="D56" s="25" t="n">
        <v>0</v>
      </c>
      <c r="E56" s="25" t="n">
        <v>0</v>
      </c>
    </row>
    <row r="57" customFormat="false" ht="15" hidden="false" customHeight="false" outlineLevel="0" collapsed="false">
      <c r="A57" s="25"/>
      <c r="B57" s="24" t="s">
        <v>115</v>
      </c>
      <c r="C57" s="25" t="n">
        <v>9</v>
      </c>
      <c r="D57" s="25" t="n">
        <v>5</v>
      </c>
      <c r="E57" s="25" t="n">
        <v>14</v>
      </c>
    </row>
    <row r="58" customFormat="false" ht="15" hidden="false" customHeight="false" outlineLevel="0" collapsed="false">
      <c r="A58" s="25"/>
      <c r="B58" s="24" t="s">
        <v>116</v>
      </c>
      <c r="C58" s="25" t="n">
        <v>1</v>
      </c>
      <c r="D58" s="25" t="n">
        <v>0</v>
      </c>
      <c r="E58" s="25" t="n">
        <v>1</v>
      </c>
    </row>
    <row r="59" customFormat="false" ht="15" hidden="false" customHeight="false" outlineLevel="0" collapsed="false">
      <c r="A59" s="27"/>
      <c r="B59" s="28" t="s">
        <v>22</v>
      </c>
      <c r="C59" s="27" t="n">
        <v>54</v>
      </c>
      <c r="D59" s="27" t="n">
        <v>35</v>
      </c>
      <c r="E59" s="27" t="n">
        <v>89</v>
      </c>
    </row>
    <row r="60" customFormat="false" ht="25.5" hidden="false" customHeight="false" outlineLevel="0" collapsed="false">
      <c r="A60" s="30"/>
      <c r="B60" s="30" t="s">
        <v>74</v>
      </c>
      <c r="C60" s="31" t="n">
        <v>223</v>
      </c>
      <c r="D60" s="31" t="n">
        <v>99</v>
      </c>
      <c r="E60" s="31" t="n">
        <v>322</v>
      </c>
    </row>
    <row r="61" customFormat="false" ht="25.5" hidden="false" customHeight="false" outlineLevel="0" collapsed="false">
      <c r="A61" s="32"/>
      <c r="B61" s="32" t="s">
        <v>117</v>
      </c>
      <c r="C61" s="33" t="n">
        <v>0.692546583850932</v>
      </c>
      <c r="D61" s="33" t="n">
        <v>0.307453416149068</v>
      </c>
      <c r="E61" s="33" t="n">
        <v>1</v>
      </c>
    </row>
  </sheetData>
  <mergeCells count="1">
    <mergeCell ref="C2:E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1"/>
  <sheetViews>
    <sheetView showFormulas="false" showGridLines="true" showRowColHeaders="true" showZeros="true" rightToLeft="false" tabSelected="false" showOutlineSymbols="true" defaultGridColor="true" view="normal" topLeftCell="A41" colorId="64" zoomScale="100" zoomScaleNormal="100" zoomScalePageLayoutView="10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0" t="s">
        <v>266</v>
      </c>
      <c r="C1" s="0" t="s">
        <v>285</v>
      </c>
    </row>
    <row r="2" customFormat="false" ht="15" hidden="false" customHeight="false" outlineLevel="0" collapsed="false">
      <c r="B2" s="0" t="s">
        <v>1</v>
      </c>
      <c r="C2" s="182" t="s">
        <v>286</v>
      </c>
      <c r="D2" s="182"/>
      <c r="E2" s="182"/>
      <c r="F2" s="182"/>
      <c r="G2" s="182"/>
      <c r="H2" s="182"/>
    </row>
    <row r="3" customFormat="false" ht="63.75" hidden="false" customHeight="false" outlineLevel="0" collapsed="false">
      <c r="A3" s="23" t="s">
        <v>2</v>
      </c>
      <c r="B3" s="23" t="s">
        <v>77</v>
      </c>
      <c r="C3" s="23" t="s">
        <v>287</v>
      </c>
      <c r="D3" s="23" t="s">
        <v>288</v>
      </c>
      <c r="E3" s="23" t="s">
        <v>289</v>
      </c>
      <c r="F3" s="138" t="s">
        <v>290</v>
      </c>
      <c r="G3" s="138" t="s">
        <v>291</v>
      </c>
      <c r="H3" s="138" t="s">
        <v>133</v>
      </c>
    </row>
    <row r="4" customFormat="false" ht="15" hidden="false" customHeight="false" outlineLevel="0" collapsed="false">
      <c r="A4" s="24" t="s">
        <v>81</v>
      </c>
      <c r="B4" s="24" t="s">
        <v>18</v>
      </c>
      <c r="C4" s="25" t="n">
        <v>0</v>
      </c>
      <c r="D4" s="25" t="n">
        <v>0</v>
      </c>
      <c r="E4" s="25" t="n">
        <v>0</v>
      </c>
    </row>
    <row r="5" customFormat="false" ht="15" hidden="false" customHeight="false" outlineLevel="0" collapsed="false">
      <c r="A5" s="26"/>
      <c r="B5" s="24" t="s">
        <v>19</v>
      </c>
      <c r="C5" s="25" t="n">
        <v>4</v>
      </c>
      <c r="D5" s="25" t="n">
        <v>0</v>
      </c>
      <c r="E5" s="25" t="n">
        <v>4</v>
      </c>
    </row>
    <row r="6" customFormat="false" ht="15" hidden="false" customHeight="false" outlineLevel="0" collapsed="false">
      <c r="A6" s="26"/>
      <c r="B6" s="24" t="s">
        <v>20</v>
      </c>
      <c r="C6" s="25" t="n">
        <v>0</v>
      </c>
      <c r="D6" s="25" t="n">
        <v>0</v>
      </c>
      <c r="E6" s="25" t="n">
        <v>0</v>
      </c>
    </row>
    <row r="7" customFormat="false" ht="15" hidden="false" customHeight="false" outlineLevel="0" collapsed="false">
      <c r="A7" s="26"/>
      <c r="B7" s="24" t="s">
        <v>21</v>
      </c>
      <c r="C7" s="25" t="n">
        <v>1</v>
      </c>
      <c r="D7" s="25" t="n">
        <v>1</v>
      </c>
      <c r="E7" s="25" t="n">
        <v>2</v>
      </c>
    </row>
    <row r="8" customFormat="false" ht="15" hidden="false" customHeight="false" outlineLevel="0" collapsed="false">
      <c r="A8" s="27"/>
      <c r="B8" s="28" t="s">
        <v>22</v>
      </c>
      <c r="C8" s="27" t="n">
        <v>5</v>
      </c>
      <c r="D8" s="27" t="n">
        <v>1</v>
      </c>
      <c r="E8" s="27" t="n">
        <v>6</v>
      </c>
    </row>
    <row r="9" customFormat="false" ht="15" hidden="false" customHeight="false" outlineLevel="0" collapsed="false">
      <c r="A9" s="24" t="s">
        <v>82</v>
      </c>
      <c r="B9" s="24" t="s">
        <v>24</v>
      </c>
      <c r="C9" s="25" t="n">
        <v>0</v>
      </c>
      <c r="D9" s="25" t="n">
        <v>0</v>
      </c>
      <c r="E9" s="25" t="n">
        <v>0</v>
      </c>
    </row>
    <row r="10" customFormat="false" ht="15" hidden="false" customHeight="false" outlineLevel="0" collapsed="false">
      <c r="A10" s="29"/>
      <c r="B10" s="24" t="s">
        <v>25</v>
      </c>
      <c r="C10" s="25" t="n">
        <v>3</v>
      </c>
      <c r="D10" s="25" t="n">
        <v>0</v>
      </c>
      <c r="E10" s="25" t="n">
        <v>3</v>
      </c>
    </row>
    <row r="11" customFormat="false" ht="15" hidden="false" customHeight="false" outlineLevel="0" collapsed="false">
      <c r="A11" s="29"/>
      <c r="B11" s="24" t="s">
        <v>26</v>
      </c>
      <c r="C11" s="25" t="n">
        <v>1</v>
      </c>
      <c r="D11" s="25" t="n">
        <v>0</v>
      </c>
      <c r="E11" s="25" t="n">
        <v>1</v>
      </c>
    </row>
    <row r="12" customFormat="false" ht="15" hidden="false" customHeight="false" outlineLevel="0" collapsed="false">
      <c r="A12" s="29"/>
      <c r="B12" s="24" t="s">
        <v>27</v>
      </c>
      <c r="C12" s="25" t="n">
        <v>1</v>
      </c>
      <c r="D12" s="25" t="n">
        <v>1</v>
      </c>
      <c r="E12" s="25" t="n">
        <v>2</v>
      </c>
    </row>
    <row r="13" customFormat="false" ht="15" hidden="false" customHeight="false" outlineLevel="0" collapsed="false">
      <c r="A13" s="27"/>
      <c r="B13" s="28" t="s">
        <v>22</v>
      </c>
      <c r="C13" s="27" t="n">
        <v>5</v>
      </c>
      <c r="D13" s="27" t="n">
        <v>1</v>
      </c>
      <c r="E13" s="27" t="n">
        <v>6</v>
      </c>
    </row>
    <row r="14" customFormat="false" ht="15" hidden="false" customHeight="false" outlineLevel="0" collapsed="false">
      <c r="A14" s="24" t="s">
        <v>83</v>
      </c>
      <c r="B14" s="24" t="s">
        <v>29</v>
      </c>
      <c r="C14" s="25" t="n">
        <v>0</v>
      </c>
      <c r="D14" s="25" t="n">
        <v>0</v>
      </c>
      <c r="E14" s="25" t="n">
        <v>0</v>
      </c>
    </row>
    <row r="15" customFormat="false" ht="15" hidden="false" customHeight="false" outlineLevel="0" collapsed="false">
      <c r="A15" s="27"/>
      <c r="B15" s="28" t="s">
        <v>22</v>
      </c>
      <c r="C15" s="27" t="n">
        <v>0</v>
      </c>
      <c r="D15" s="27" t="n">
        <v>0</v>
      </c>
      <c r="E15" s="27" t="n">
        <v>0</v>
      </c>
    </row>
    <row r="16" customFormat="false" ht="15" hidden="false" customHeight="false" outlineLevel="0" collapsed="false">
      <c r="A16" s="24" t="s">
        <v>84</v>
      </c>
      <c r="B16" s="24" t="s">
        <v>31</v>
      </c>
      <c r="C16" s="25" t="n">
        <v>0</v>
      </c>
      <c r="D16" s="25" t="n">
        <v>0</v>
      </c>
      <c r="E16" s="25" t="n">
        <v>0</v>
      </c>
    </row>
    <row r="17" customFormat="false" ht="15" hidden="false" customHeight="false" outlineLevel="0" collapsed="false">
      <c r="A17" s="25"/>
      <c r="B17" s="24" t="s">
        <v>32</v>
      </c>
      <c r="C17" s="25" t="n">
        <v>1</v>
      </c>
      <c r="D17" s="25" t="n">
        <v>0</v>
      </c>
      <c r="E17" s="25" t="n">
        <v>1</v>
      </c>
    </row>
    <row r="18" customFormat="false" ht="15" hidden="false" customHeight="false" outlineLevel="0" collapsed="false">
      <c r="A18" s="25"/>
      <c r="B18" s="24" t="s">
        <v>33</v>
      </c>
      <c r="C18" s="25" t="n">
        <v>0</v>
      </c>
      <c r="D18" s="25" t="n">
        <v>0</v>
      </c>
      <c r="E18" s="25" t="n">
        <v>0</v>
      </c>
    </row>
    <row r="19" customFormat="false" ht="15" hidden="false" customHeight="false" outlineLevel="0" collapsed="false">
      <c r="A19" s="27"/>
      <c r="B19" s="28" t="s">
        <v>22</v>
      </c>
      <c r="C19" s="27" t="n">
        <v>1</v>
      </c>
      <c r="D19" s="27" t="n">
        <v>0</v>
      </c>
      <c r="E19" s="27" t="n">
        <v>1</v>
      </c>
    </row>
    <row r="20" customFormat="false" ht="25.5" hidden="false" customHeight="false" outlineLevel="0" collapsed="false">
      <c r="A20" s="24" t="s">
        <v>85</v>
      </c>
      <c r="B20" s="24" t="s">
        <v>35</v>
      </c>
      <c r="C20" s="25" t="n">
        <v>1</v>
      </c>
      <c r="D20" s="25" t="n">
        <v>2</v>
      </c>
      <c r="E20" s="25" t="n">
        <v>3</v>
      </c>
    </row>
    <row r="21" customFormat="false" ht="15" hidden="false" customHeight="false" outlineLevel="0" collapsed="false">
      <c r="A21" s="25"/>
      <c r="B21" s="24" t="s">
        <v>36</v>
      </c>
      <c r="C21" s="25" t="n">
        <v>2</v>
      </c>
      <c r="D21" s="25" t="n">
        <v>0</v>
      </c>
      <c r="E21" s="25" t="n">
        <v>2</v>
      </c>
    </row>
    <row r="22" customFormat="false" ht="15" hidden="false" customHeight="false" outlineLevel="0" collapsed="false">
      <c r="A22" s="25"/>
      <c r="B22" s="24" t="s">
        <v>37</v>
      </c>
      <c r="C22" s="25" t="n">
        <v>0</v>
      </c>
      <c r="D22" s="25" t="n">
        <v>1</v>
      </c>
      <c r="E22" s="25" t="n">
        <v>1</v>
      </c>
    </row>
    <row r="23" customFormat="false" ht="15" hidden="false" customHeight="false" outlineLevel="0" collapsed="false">
      <c r="A23" s="27"/>
      <c r="B23" s="28" t="s">
        <v>22</v>
      </c>
      <c r="C23" s="27" t="n">
        <v>3</v>
      </c>
      <c r="D23" s="27" t="n">
        <v>3</v>
      </c>
      <c r="E23" s="27" t="n">
        <v>6</v>
      </c>
    </row>
    <row r="24" customFormat="false" ht="25.5" hidden="false" customHeight="false" outlineLevel="0" collapsed="false">
      <c r="A24" s="24" t="s">
        <v>86</v>
      </c>
      <c r="B24" s="24" t="s">
        <v>39</v>
      </c>
      <c r="C24" s="25" t="n">
        <v>0</v>
      </c>
      <c r="D24" s="25" t="n">
        <v>0</v>
      </c>
      <c r="E24" s="25" t="n">
        <v>0</v>
      </c>
    </row>
    <row r="25" customFormat="false" ht="15" hidden="false" customHeight="false" outlineLevel="0" collapsed="false">
      <c r="A25" s="25"/>
      <c r="B25" s="24" t="s">
        <v>40</v>
      </c>
      <c r="C25" s="25" t="n">
        <v>2</v>
      </c>
      <c r="D25" s="25" t="n">
        <v>0</v>
      </c>
      <c r="E25" s="25" t="n">
        <v>2</v>
      </c>
    </row>
    <row r="26" customFormat="false" ht="15" hidden="false" customHeight="false" outlineLevel="0" collapsed="false">
      <c r="A26" s="25"/>
      <c r="B26" s="24" t="s">
        <v>41</v>
      </c>
      <c r="C26" s="25" t="n">
        <v>8</v>
      </c>
      <c r="D26" s="25" t="n">
        <v>8</v>
      </c>
      <c r="E26" s="25" t="n">
        <v>16</v>
      </c>
    </row>
    <row r="27" customFormat="false" ht="15" hidden="false" customHeight="false" outlineLevel="0" collapsed="false">
      <c r="A27" s="25"/>
      <c r="B27" s="24" t="s">
        <v>42</v>
      </c>
      <c r="C27" s="25" t="n">
        <v>2</v>
      </c>
      <c r="D27" s="25" t="n">
        <v>0</v>
      </c>
      <c r="E27" s="25" t="n">
        <v>2</v>
      </c>
    </row>
    <row r="28" customFormat="false" ht="15" hidden="false" customHeight="false" outlineLevel="0" collapsed="false">
      <c r="A28" s="27"/>
      <c r="B28" s="28" t="s">
        <v>22</v>
      </c>
      <c r="C28" s="27" t="n">
        <v>12</v>
      </c>
      <c r="D28" s="27" t="n">
        <v>8</v>
      </c>
      <c r="E28" s="27" t="n">
        <v>20</v>
      </c>
    </row>
    <row r="29" customFormat="false" ht="15" hidden="false" customHeight="false" outlineLevel="0" collapsed="false">
      <c r="A29" s="24" t="s">
        <v>87</v>
      </c>
      <c r="B29" s="24" t="s">
        <v>44</v>
      </c>
      <c r="C29" s="25" t="n">
        <v>19</v>
      </c>
      <c r="D29" s="25" t="n">
        <v>0</v>
      </c>
      <c r="E29" s="25" t="n">
        <v>19</v>
      </c>
    </row>
    <row r="30" customFormat="false" ht="25.5" hidden="false" customHeight="false" outlineLevel="0" collapsed="false">
      <c r="A30" s="25"/>
      <c r="B30" s="24" t="s">
        <v>45</v>
      </c>
      <c r="C30" s="25" t="n">
        <v>1</v>
      </c>
      <c r="D30" s="25" t="n">
        <v>0</v>
      </c>
      <c r="E30" s="25" t="n">
        <v>1</v>
      </c>
    </row>
    <row r="31" customFormat="false" ht="15" hidden="false" customHeight="false" outlineLevel="0" collapsed="false">
      <c r="A31" s="25"/>
      <c r="B31" s="24" t="s">
        <v>46</v>
      </c>
      <c r="C31" s="25" t="n">
        <v>38</v>
      </c>
      <c r="D31" s="25" t="n">
        <v>19</v>
      </c>
      <c r="E31" s="25" t="n">
        <v>57</v>
      </c>
    </row>
    <row r="32" customFormat="false" ht="15" hidden="false" customHeight="false" outlineLevel="0" collapsed="false">
      <c r="A32" s="27"/>
      <c r="B32" s="28" t="s">
        <v>22</v>
      </c>
      <c r="C32" s="27" t="n">
        <v>58</v>
      </c>
      <c r="D32" s="27" t="n">
        <v>19</v>
      </c>
      <c r="E32" s="27" t="n">
        <v>77</v>
      </c>
    </row>
    <row r="33" customFormat="false" ht="15" hidden="false" customHeight="false" outlineLevel="0" collapsed="false">
      <c r="A33" s="24" t="s">
        <v>90</v>
      </c>
      <c r="B33" s="24" t="s">
        <v>91</v>
      </c>
      <c r="C33" s="25" t="n">
        <v>0</v>
      </c>
      <c r="D33" s="25" t="n">
        <v>0</v>
      </c>
      <c r="E33" s="25" t="n">
        <v>0</v>
      </c>
    </row>
    <row r="34" customFormat="false" ht="15" hidden="false" customHeight="false" outlineLevel="0" collapsed="false">
      <c r="A34" s="25"/>
      <c r="B34" s="24" t="s">
        <v>92</v>
      </c>
      <c r="C34" s="25" t="n">
        <v>18</v>
      </c>
      <c r="D34" s="25" t="n">
        <v>6</v>
      </c>
      <c r="E34" s="25" t="n">
        <v>24</v>
      </c>
    </row>
    <row r="35" customFormat="false" ht="15" hidden="false" customHeight="false" outlineLevel="0" collapsed="false">
      <c r="A35" s="25"/>
      <c r="B35" s="24" t="s">
        <v>93</v>
      </c>
      <c r="C35" s="25" t="n">
        <v>0</v>
      </c>
      <c r="D35" s="25" t="n">
        <v>0</v>
      </c>
      <c r="E35" s="25" t="n">
        <v>0</v>
      </c>
    </row>
    <row r="36" customFormat="false" ht="15" hidden="false" customHeight="false" outlineLevel="0" collapsed="false">
      <c r="A36" s="25"/>
      <c r="B36" s="24" t="s">
        <v>94</v>
      </c>
      <c r="C36" s="25" t="n">
        <v>15</v>
      </c>
      <c r="D36" s="25" t="n">
        <v>5</v>
      </c>
      <c r="E36" s="25" t="n">
        <v>20</v>
      </c>
    </row>
    <row r="37" customFormat="false" ht="15" hidden="false" customHeight="false" outlineLevel="0" collapsed="false">
      <c r="A37" s="25"/>
      <c r="B37" s="24" t="s">
        <v>95</v>
      </c>
      <c r="C37" s="25" t="n">
        <v>16</v>
      </c>
      <c r="D37" s="25" t="n">
        <v>9</v>
      </c>
      <c r="E37" s="25" t="n">
        <v>25</v>
      </c>
    </row>
    <row r="38" customFormat="false" ht="15" hidden="false" customHeight="false" outlineLevel="0" collapsed="false">
      <c r="A38" s="25"/>
      <c r="B38" s="24" t="s">
        <v>96</v>
      </c>
      <c r="C38" s="25" t="n">
        <v>20</v>
      </c>
      <c r="D38" s="25" t="n">
        <v>9</v>
      </c>
      <c r="E38" s="25" t="n">
        <v>29</v>
      </c>
    </row>
    <row r="39" customFormat="false" ht="15" hidden="false" customHeight="false" outlineLevel="0" collapsed="false">
      <c r="A39" s="25"/>
      <c r="B39" s="24" t="s">
        <v>97</v>
      </c>
      <c r="C39" s="25" t="n">
        <v>12</v>
      </c>
      <c r="D39" s="25" t="n">
        <v>0</v>
      </c>
      <c r="E39" s="25" t="n">
        <v>12</v>
      </c>
    </row>
    <row r="40" customFormat="false" ht="15" hidden="false" customHeight="false" outlineLevel="0" collapsed="false">
      <c r="A40" s="25"/>
      <c r="B40" s="24" t="s">
        <v>98</v>
      </c>
      <c r="C40" s="25" t="n">
        <v>0</v>
      </c>
      <c r="D40" s="25" t="n">
        <v>0</v>
      </c>
      <c r="E40" s="25" t="n">
        <v>0</v>
      </c>
    </row>
    <row r="41" customFormat="false" ht="15" hidden="false" customHeight="false" outlineLevel="0" collapsed="false">
      <c r="A41" s="25"/>
      <c r="B41" s="24" t="s">
        <v>99</v>
      </c>
      <c r="C41" s="25" t="n">
        <v>4</v>
      </c>
      <c r="D41" s="25" t="n">
        <v>3</v>
      </c>
      <c r="E41" s="25" t="n">
        <v>7</v>
      </c>
    </row>
    <row r="42" customFormat="false" ht="15" hidden="false" customHeight="false" outlineLevel="0" collapsed="false">
      <c r="A42" s="27"/>
      <c r="B42" s="28" t="s">
        <v>22</v>
      </c>
      <c r="C42" s="27" t="n">
        <v>85</v>
      </c>
      <c r="D42" s="27" t="n">
        <v>32</v>
      </c>
      <c r="E42" s="27" t="n">
        <v>117</v>
      </c>
    </row>
    <row r="43" customFormat="false" ht="15" hidden="false" customHeight="false" outlineLevel="0" collapsed="false">
      <c r="A43" s="24" t="s">
        <v>100</v>
      </c>
      <c r="B43" s="24" t="s">
        <v>101</v>
      </c>
      <c r="C43" s="25" t="n">
        <v>24</v>
      </c>
      <c r="D43" s="25" t="n">
        <v>11</v>
      </c>
      <c r="E43" s="25" t="n">
        <v>35</v>
      </c>
    </row>
    <row r="44" customFormat="false" ht="15" hidden="false" customHeight="false" outlineLevel="0" collapsed="false">
      <c r="A44" s="25"/>
      <c r="B44" s="24" t="s">
        <v>102</v>
      </c>
      <c r="C44" s="25" t="n">
        <v>0</v>
      </c>
      <c r="D44" s="25" t="n">
        <v>0</v>
      </c>
      <c r="E44" s="25" t="n">
        <v>0</v>
      </c>
    </row>
    <row r="45" customFormat="false" ht="15" hidden="false" customHeight="false" outlineLevel="0" collapsed="false">
      <c r="A45" s="25"/>
      <c r="B45" s="24" t="s">
        <v>103</v>
      </c>
      <c r="C45" s="25" t="n">
        <v>1</v>
      </c>
      <c r="D45" s="25" t="n">
        <v>0</v>
      </c>
      <c r="E45" s="25" t="n">
        <v>1</v>
      </c>
    </row>
    <row r="46" customFormat="false" ht="15" hidden="false" customHeight="false" outlineLevel="0" collapsed="false">
      <c r="A46" s="25"/>
      <c r="B46" s="24" t="s">
        <v>104</v>
      </c>
      <c r="C46" s="25" t="n">
        <v>0</v>
      </c>
      <c r="D46" s="25" t="n">
        <v>0</v>
      </c>
      <c r="E46" s="25" t="n">
        <v>0</v>
      </c>
    </row>
    <row r="47" customFormat="false" ht="15" hidden="false" customHeight="false" outlineLevel="0" collapsed="false">
      <c r="A47" s="25"/>
      <c r="B47" s="24" t="s">
        <v>105</v>
      </c>
      <c r="C47" s="25" t="n">
        <v>0</v>
      </c>
      <c r="D47" s="25" t="n">
        <v>0</v>
      </c>
      <c r="E47" s="25" t="n">
        <v>0</v>
      </c>
    </row>
    <row r="48" customFormat="false" ht="15" hidden="false" customHeight="false" outlineLevel="0" collapsed="false">
      <c r="A48" s="25"/>
      <c r="B48" s="24" t="s">
        <v>106</v>
      </c>
      <c r="C48" s="25" t="n">
        <v>0</v>
      </c>
      <c r="D48" s="25" t="n">
        <v>0</v>
      </c>
      <c r="E48" s="25" t="n">
        <v>0</v>
      </c>
    </row>
    <row r="49" customFormat="false" ht="15" hidden="false" customHeight="false" outlineLevel="0" collapsed="false">
      <c r="A49" s="25"/>
      <c r="B49" s="24" t="s">
        <v>107</v>
      </c>
      <c r="C49" s="25" t="n">
        <v>0</v>
      </c>
      <c r="D49" s="25" t="n">
        <v>0</v>
      </c>
      <c r="E49" s="25" t="n">
        <v>0</v>
      </c>
    </row>
    <row r="50" customFormat="false" ht="15" hidden="false" customHeight="false" outlineLevel="0" collapsed="false">
      <c r="A50" s="25"/>
      <c r="B50" s="24" t="s">
        <v>108</v>
      </c>
      <c r="C50" s="25" t="n">
        <v>2</v>
      </c>
      <c r="D50" s="25" t="n">
        <v>1</v>
      </c>
      <c r="E50" s="25" t="n">
        <v>3</v>
      </c>
    </row>
    <row r="51" customFormat="false" ht="15" hidden="false" customHeight="false" outlineLevel="0" collapsed="false">
      <c r="A51" s="25"/>
      <c r="B51" s="24" t="s">
        <v>109</v>
      </c>
      <c r="C51" s="25" t="n">
        <v>12</v>
      </c>
      <c r="D51" s="25" t="n">
        <v>15</v>
      </c>
      <c r="E51" s="25" t="n">
        <v>27</v>
      </c>
    </row>
    <row r="52" customFormat="false" ht="15" hidden="false" customHeight="false" outlineLevel="0" collapsed="false">
      <c r="A52" s="25"/>
      <c r="B52" s="24" t="s">
        <v>110</v>
      </c>
      <c r="C52" s="25" t="n">
        <v>5</v>
      </c>
      <c r="D52" s="25" t="n">
        <v>3</v>
      </c>
      <c r="E52" s="25" t="n">
        <v>8</v>
      </c>
    </row>
    <row r="53" customFormat="false" ht="15" hidden="false" customHeight="false" outlineLevel="0" collapsed="false">
      <c r="A53" s="25"/>
      <c r="B53" s="24" t="s">
        <v>111</v>
      </c>
      <c r="C53" s="25" t="n">
        <v>0</v>
      </c>
      <c r="D53" s="25" t="n">
        <v>0</v>
      </c>
      <c r="E53" s="25" t="n">
        <v>0</v>
      </c>
    </row>
    <row r="54" customFormat="false" ht="15" hidden="false" customHeight="false" outlineLevel="0" collapsed="false">
      <c r="A54" s="25"/>
      <c r="B54" s="24" t="s">
        <v>112</v>
      </c>
      <c r="C54" s="25" t="n">
        <v>0</v>
      </c>
      <c r="D54" s="25" t="n">
        <v>0</v>
      </c>
      <c r="E54" s="25" t="n">
        <v>0</v>
      </c>
    </row>
    <row r="55" customFormat="false" ht="15" hidden="false" customHeight="false" outlineLevel="0" collapsed="false">
      <c r="A55" s="25"/>
      <c r="B55" s="24" t="s">
        <v>113</v>
      </c>
      <c r="C55" s="25" t="n">
        <v>0</v>
      </c>
      <c r="D55" s="25" t="n">
        <v>0</v>
      </c>
      <c r="E55" s="25" t="n">
        <v>0</v>
      </c>
    </row>
    <row r="56" customFormat="false" ht="15" hidden="false" customHeight="false" outlineLevel="0" collapsed="false">
      <c r="A56" s="25"/>
      <c r="B56" s="24" t="s">
        <v>114</v>
      </c>
      <c r="C56" s="25" t="n">
        <v>0</v>
      </c>
      <c r="D56" s="25" t="n">
        <v>0</v>
      </c>
      <c r="E56" s="25" t="n">
        <v>0</v>
      </c>
    </row>
    <row r="57" customFormat="false" ht="15" hidden="false" customHeight="false" outlineLevel="0" collapsed="false">
      <c r="A57" s="25"/>
      <c r="B57" s="24" t="s">
        <v>115</v>
      </c>
      <c r="C57" s="25" t="n">
        <v>9</v>
      </c>
      <c r="D57" s="25" t="n">
        <v>5</v>
      </c>
      <c r="E57" s="25" t="n">
        <v>14</v>
      </c>
    </row>
    <row r="58" customFormat="false" ht="15" hidden="false" customHeight="false" outlineLevel="0" collapsed="false">
      <c r="A58" s="25"/>
      <c r="B58" s="24" t="s">
        <v>116</v>
      </c>
      <c r="C58" s="25" t="n">
        <v>1</v>
      </c>
      <c r="D58" s="25" t="n">
        <v>0</v>
      </c>
      <c r="E58" s="25" t="n">
        <v>1</v>
      </c>
    </row>
    <row r="59" customFormat="false" ht="15" hidden="false" customHeight="false" outlineLevel="0" collapsed="false">
      <c r="A59" s="27"/>
      <c r="B59" s="28" t="s">
        <v>22</v>
      </c>
      <c r="C59" s="27" t="n">
        <v>54</v>
      </c>
      <c r="D59" s="27" t="n">
        <v>35</v>
      </c>
      <c r="E59" s="27" t="n">
        <v>89</v>
      </c>
    </row>
    <row r="60" customFormat="false" ht="25.5" hidden="false" customHeight="false" outlineLevel="0" collapsed="false">
      <c r="A60" s="30"/>
      <c r="B60" s="30" t="s">
        <v>74</v>
      </c>
      <c r="C60" s="31" t="n">
        <v>223</v>
      </c>
      <c r="D60" s="31" t="n">
        <v>99</v>
      </c>
      <c r="E60" s="31" t="n">
        <v>322</v>
      </c>
    </row>
    <row r="61" customFormat="false" ht="25.5" hidden="false" customHeight="false" outlineLevel="0" collapsed="false">
      <c r="A61" s="32"/>
      <c r="B61" s="32" t="s">
        <v>117</v>
      </c>
      <c r="C61" s="33" t="n">
        <v>0.692546583850932</v>
      </c>
      <c r="D61" s="33" t="n">
        <v>0.307453416149068</v>
      </c>
      <c r="E61" s="33" t="n">
        <v>1</v>
      </c>
    </row>
  </sheetData>
  <mergeCells count="1">
    <mergeCell ref="C2:H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RowHeight="15" outlineLevelRow="0" outlineLevelCol="0"/>
  <cols>
    <col collapsed="false" customWidth="true" hidden="false" outlineLevel="0" max="9" min="1" style="0" width="8.67"/>
    <col collapsed="false" customWidth="true" hidden="false" outlineLevel="0" max="10" min="10" style="0" width="9.14"/>
    <col collapsed="false" customWidth="true" hidden="false" outlineLevel="0" max="1025" min="11" style="0" width="8.67"/>
  </cols>
  <sheetData>
    <row r="1" customFormat="false" ht="15" hidden="false" customHeight="false" outlineLevel="0" collapsed="false">
      <c r="A1" s="0" t="s">
        <v>292</v>
      </c>
    </row>
    <row r="2" customFormat="false" ht="15" hidden="false" customHeight="false" outlineLevel="0" collapsed="false">
      <c r="B2" s="0" t="s">
        <v>1</v>
      </c>
      <c r="C2" s="183" t="s">
        <v>293</v>
      </c>
      <c r="D2" s="183" t="s">
        <v>294</v>
      </c>
      <c r="E2" s="183" t="s">
        <v>295</v>
      </c>
      <c r="F2" s="183" t="s">
        <v>296</v>
      </c>
      <c r="G2" s="183" t="s">
        <v>297</v>
      </c>
      <c r="H2" s="183" t="s">
        <v>298</v>
      </c>
      <c r="I2" s="183" t="s">
        <v>299</v>
      </c>
      <c r="J2" s="183" t="s">
        <v>300</v>
      </c>
      <c r="K2" s="183" t="s">
        <v>301</v>
      </c>
      <c r="L2" s="184" t="s">
        <v>302</v>
      </c>
      <c r="M2" s="184" t="s">
        <v>303</v>
      </c>
      <c r="N2" s="184" t="s">
        <v>304</v>
      </c>
      <c r="O2" s="184" t="s">
        <v>305</v>
      </c>
      <c r="P2" s="184" t="s">
        <v>306</v>
      </c>
      <c r="Q2" s="184" t="s">
        <v>307</v>
      </c>
      <c r="R2" s="184" t="s">
        <v>308</v>
      </c>
      <c r="S2" s="184" t="s">
        <v>309</v>
      </c>
      <c r="T2" s="184" t="s">
        <v>310</v>
      </c>
      <c r="U2" s="184" t="s">
        <v>311</v>
      </c>
      <c r="V2" s="184" t="s">
        <v>312</v>
      </c>
      <c r="W2" s="184" t="s">
        <v>313</v>
      </c>
    </row>
    <row r="3" customFormat="false" ht="38.25" hidden="false" customHeight="false" outlineLevel="0" collapsed="false">
      <c r="A3" s="23" t="s">
        <v>2</v>
      </c>
      <c r="B3" s="23" t="s">
        <v>77</v>
      </c>
      <c r="C3" s="23" t="s">
        <v>314</v>
      </c>
      <c r="D3" s="23" t="s">
        <v>315</v>
      </c>
      <c r="E3" s="23" t="s">
        <v>316</v>
      </c>
      <c r="F3" s="138" t="s">
        <v>317</v>
      </c>
      <c r="G3" s="138" t="s">
        <v>318</v>
      </c>
      <c r="H3" s="138" t="s">
        <v>319</v>
      </c>
      <c r="I3" s="138" t="s">
        <v>320</v>
      </c>
      <c r="J3" s="138" t="s">
        <v>321</v>
      </c>
      <c r="K3" s="138" t="s">
        <v>322</v>
      </c>
      <c r="L3" s="138" t="s">
        <v>323</v>
      </c>
      <c r="M3" s="185" t="s">
        <v>324</v>
      </c>
      <c r="N3" s="185" t="s">
        <v>325</v>
      </c>
      <c r="O3" s="185" t="s">
        <v>326</v>
      </c>
      <c r="P3" s="185" t="s">
        <v>327</v>
      </c>
      <c r="Q3" s="185" t="s">
        <v>328</v>
      </c>
      <c r="R3" s="185" t="s">
        <v>329</v>
      </c>
      <c r="S3" s="185" t="s">
        <v>330</v>
      </c>
      <c r="T3" s="185" t="s">
        <v>331</v>
      </c>
      <c r="U3" s="185" t="s">
        <v>332</v>
      </c>
      <c r="V3" s="185" t="s">
        <v>333</v>
      </c>
      <c r="W3" s="185" t="s">
        <v>334</v>
      </c>
    </row>
    <row r="4" customFormat="false" ht="15" hidden="false" customHeight="false" outlineLevel="0" collapsed="false">
      <c r="A4" s="24" t="s">
        <v>81</v>
      </c>
      <c r="B4" s="24" t="s">
        <v>18</v>
      </c>
      <c r="C4" s="25" t="n">
        <v>0</v>
      </c>
      <c r="D4" s="25" t="n">
        <v>0</v>
      </c>
      <c r="E4" s="25" t="n">
        <v>0</v>
      </c>
    </row>
    <row r="5" customFormat="false" ht="15" hidden="false" customHeight="false" outlineLevel="0" collapsed="false">
      <c r="A5" s="26"/>
      <c r="B5" s="24" t="s">
        <v>19</v>
      </c>
      <c r="C5" s="25" t="n">
        <v>4</v>
      </c>
      <c r="D5" s="25" t="n">
        <v>0</v>
      </c>
      <c r="E5" s="25" t="n">
        <v>4</v>
      </c>
    </row>
    <row r="6" customFormat="false" ht="15" hidden="false" customHeight="false" outlineLevel="0" collapsed="false">
      <c r="A6" s="26"/>
      <c r="B6" s="24" t="s">
        <v>20</v>
      </c>
      <c r="C6" s="25" t="n">
        <v>0</v>
      </c>
      <c r="D6" s="25" t="n">
        <v>0</v>
      </c>
      <c r="E6" s="25" t="n">
        <v>0</v>
      </c>
    </row>
    <row r="7" customFormat="false" ht="15" hidden="false" customHeight="false" outlineLevel="0" collapsed="false">
      <c r="A7" s="26"/>
      <c r="B7" s="24" t="s">
        <v>21</v>
      </c>
      <c r="C7" s="25" t="n">
        <v>1</v>
      </c>
      <c r="D7" s="25" t="n">
        <v>1</v>
      </c>
      <c r="E7" s="25" t="n">
        <v>2</v>
      </c>
    </row>
    <row r="8" customFormat="false" ht="15" hidden="false" customHeight="false" outlineLevel="0" collapsed="false">
      <c r="A8" s="27"/>
      <c r="B8" s="28" t="s">
        <v>22</v>
      </c>
      <c r="C8" s="27" t="n">
        <v>5</v>
      </c>
      <c r="D8" s="27" t="n">
        <v>1</v>
      </c>
      <c r="E8" s="27" t="n">
        <v>6</v>
      </c>
    </row>
    <row r="9" customFormat="false" ht="15" hidden="false" customHeight="false" outlineLevel="0" collapsed="false">
      <c r="A9" s="24" t="s">
        <v>82</v>
      </c>
      <c r="B9" s="24" t="s">
        <v>24</v>
      </c>
      <c r="C9" s="25" t="n">
        <v>0</v>
      </c>
      <c r="D9" s="25" t="n">
        <v>0</v>
      </c>
      <c r="E9" s="25" t="n">
        <v>0</v>
      </c>
    </row>
    <row r="10" customFormat="false" ht="15" hidden="false" customHeight="false" outlineLevel="0" collapsed="false">
      <c r="A10" s="29"/>
      <c r="B10" s="24" t="s">
        <v>25</v>
      </c>
      <c r="C10" s="25" t="n">
        <v>3</v>
      </c>
      <c r="D10" s="25" t="n">
        <v>0</v>
      </c>
      <c r="E10" s="25" t="n">
        <v>3</v>
      </c>
    </row>
    <row r="11" customFormat="false" ht="15" hidden="false" customHeight="false" outlineLevel="0" collapsed="false">
      <c r="A11" s="29"/>
      <c r="B11" s="24" t="s">
        <v>26</v>
      </c>
      <c r="C11" s="25" t="n">
        <v>1</v>
      </c>
      <c r="D11" s="25" t="n">
        <v>0</v>
      </c>
      <c r="E11" s="25" t="n">
        <v>1</v>
      </c>
    </row>
    <row r="12" customFormat="false" ht="15" hidden="false" customHeight="false" outlineLevel="0" collapsed="false">
      <c r="A12" s="29"/>
      <c r="B12" s="24" t="s">
        <v>27</v>
      </c>
      <c r="C12" s="25" t="n">
        <v>1</v>
      </c>
      <c r="D12" s="25" t="n">
        <v>1</v>
      </c>
      <c r="E12" s="25" t="n">
        <v>2</v>
      </c>
    </row>
    <row r="13" customFormat="false" ht="15" hidden="false" customHeight="false" outlineLevel="0" collapsed="false">
      <c r="A13" s="27"/>
      <c r="B13" s="28" t="s">
        <v>22</v>
      </c>
      <c r="C13" s="27" t="n">
        <v>5</v>
      </c>
      <c r="D13" s="27" t="n">
        <v>1</v>
      </c>
      <c r="E13" s="27" t="n">
        <v>6</v>
      </c>
    </row>
    <row r="14" customFormat="false" ht="15" hidden="false" customHeight="false" outlineLevel="0" collapsed="false">
      <c r="A14" s="24" t="s">
        <v>83</v>
      </c>
      <c r="B14" s="24" t="s">
        <v>29</v>
      </c>
      <c r="C14" s="25" t="n">
        <v>0</v>
      </c>
      <c r="D14" s="25" t="n">
        <v>0</v>
      </c>
      <c r="E14" s="25" t="n">
        <v>0</v>
      </c>
    </row>
    <row r="15" customFormat="false" ht="15" hidden="false" customHeight="false" outlineLevel="0" collapsed="false">
      <c r="A15" s="27"/>
      <c r="B15" s="28" t="s">
        <v>22</v>
      </c>
      <c r="C15" s="27" t="n">
        <v>0</v>
      </c>
      <c r="D15" s="27" t="n">
        <v>0</v>
      </c>
      <c r="E15" s="27" t="n">
        <v>0</v>
      </c>
    </row>
    <row r="16" customFormat="false" ht="15" hidden="false" customHeight="false" outlineLevel="0" collapsed="false">
      <c r="A16" s="24" t="s">
        <v>84</v>
      </c>
      <c r="B16" s="24" t="s">
        <v>31</v>
      </c>
      <c r="C16" s="25" t="n">
        <v>0</v>
      </c>
      <c r="D16" s="25" t="n">
        <v>0</v>
      </c>
      <c r="E16" s="25" t="n">
        <v>0</v>
      </c>
    </row>
    <row r="17" customFormat="false" ht="15" hidden="false" customHeight="false" outlineLevel="0" collapsed="false">
      <c r="A17" s="25"/>
      <c r="B17" s="24" t="s">
        <v>32</v>
      </c>
      <c r="C17" s="25" t="n">
        <v>1</v>
      </c>
      <c r="D17" s="25" t="n">
        <v>0</v>
      </c>
      <c r="E17" s="25" t="n">
        <v>1</v>
      </c>
    </row>
    <row r="18" customFormat="false" ht="15" hidden="false" customHeight="false" outlineLevel="0" collapsed="false">
      <c r="A18" s="25"/>
      <c r="B18" s="24" t="s">
        <v>33</v>
      </c>
      <c r="C18" s="25" t="n">
        <v>0</v>
      </c>
      <c r="D18" s="25" t="n">
        <v>0</v>
      </c>
      <c r="E18" s="25" t="n">
        <v>0</v>
      </c>
    </row>
    <row r="19" customFormat="false" ht="15" hidden="false" customHeight="false" outlineLevel="0" collapsed="false">
      <c r="A19" s="27"/>
      <c r="B19" s="28" t="s">
        <v>22</v>
      </c>
      <c r="C19" s="27" t="n">
        <v>1</v>
      </c>
      <c r="D19" s="27" t="n">
        <v>0</v>
      </c>
      <c r="E19" s="27" t="n">
        <v>1</v>
      </c>
    </row>
    <row r="20" customFormat="false" ht="25.5" hidden="false" customHeight="false" outlineLevel="0" collapsed="false">
      <c r="A20" s="24" t="s">
        <v>85</v>
      </c>
      <c r="B20" s="24" t="s">
        <v>35</v>
      </c>
      <c r="C20" s="25" t="n">
        <v>1</v>
      </c>
      <c r="D20" s="25" t="n">
        <v>2</v>
      </c>
      <c r="E20" s="25" t="n">
        <v>3</v>
      </c>
    </row>
    <row r="21" customFormat="false" ht="15" hidden="false" customHeight="false" outlineLevel="0" collapsed="false">
      <c r="A21" s="25"/>
      <c r="B21" s="24" t="s">
        <v>36</v>
      </c>
      <c r="C21" s="25" t="n">
        <v>2</v>
      </c>
      <c r="D21" s="25" t="n">
        <v>0</v>
      </c>
      <c r="E21" s="25" t="n">
        <v>2</v>
      </c>
    </row>
    <row r="22" customFormat="false" ht="15" hidden="false" customHeight="false" outlineLevel="0" collapsed="false">
      <c r="A22" s="25"/>
      <c r="B22" s="24" t="s">
        <v>37</v>
      </c>
      <c r="C22" s="25" t="n">
        <v>0</v>
      </c>
      <c r="D22" s="25" t="n">
        <v>1</v>
      </c>
      <c r="E22" s="25" t="n">
        <v>1</v>
      </c>
    </row>
    <row r="23" customFormat="false" ht="15" hidden="false" customHeight="false" outlineLevel="0" collapsed="false">
      <c r="A23" s="27"/>
      <c r="B23" s="28" t="s">
        <v>22</v>
      </c>
      <c r="C23" s="27" t="n">
        <v>3</v>
      </c>
      <c r="D23" s="27" t="n">
        <v>3</v>
      </c>
      <c r="E23" s="27" t="n">
        <v>6</v>
      </c>
    </row>
    <row r="24" customFormat="false" ht="25.5" hidden="false" customHeight="false" outlineLevel="0" collapsed="false">
      <c r="A24" s="24" t="s">
        <v>86</v>
      </c>
      <c r="B24" s="24" t="s">
        <v>39</v>
      </c>
      <c r="C24" s="25" t="n">
        <v>0</v>
      </c>
      <c r="D24" s="25" t="n">
        <v>0</v>
      </c>
      <c r="E24" s="25" t="n">
        <v>0</v>
      </c>
    </row>
    <row r="25" customFormat="false" ht="15" hidden="false" customHeight="false" outlineLevel="0" collapsed="false">
      <c r="A25" s="25"/>
      <c r="B25" s="24" t="s">
        <v>40</v>
      </c>
      <c r="C25" s="25" t="n">
        <v>2</v>
      </c>
      <c r="D25" s="25" t="n">
        <v>0</v>
      </c>
      <c r="E25" s="25" t="n">
        <v>2</v>
      </c>
    </row>
    <row r="26" customFormat="false" ht="15" hidden="false" customHeight="false" outlineLevel="0" collapsed="false">
      <c r="A26" s="25"/>
      <c r="B26" s="24" t="s">
        <v>41</v>
      </c>
      <c r="C26" s="25" t="n">
        <v>8</v>
      </c>
      <c r="D26" s="25" t="n">
        <v>8</v>
      </c>
      <c r="E26" s="25" t="n">
        <v>16</v>
      </c>
    </row>
    <row r="27" customFormat="false" ht="15" hidden="false" customHeight="false" outlineLevel="0" collapsed="false">
      <c r="A27" s="25"/>
      <c r="B27" s="24" t="s">
        <v>42</v>
      </c>
      <c r="C27" s="25" t="n">
        <v>2</v>
      </c>
      <c r="D27" s="25" t="n">
        <v>0</v>
      </c>
      <c r="E27" s="25" t="n">
        <v>2</v>
      </c>
    </row>
    <row r="28" customFormat="false" ht="15" hidden="false" customHeight="false" outlineLevel="0" collapsed="false">
      <c r="A28" s="27"/>
      <c r="B28" s="28" t="s">
        <v>22</v>
      </c>
      <c r="C28" s="27" t="n">
        <v>12</v>
      </c>
      <c r="D28" s="27" t="n">
        <v>8</v>
      </c>
      <c r="E28" s="27" t="n">
        <v>20</v>
      </c>
    </row>
    <row r="29" customFormat="false" ht="15" hidden="false" customHeight="false" outlineLevel="0" collapsed="false">
      <c r="A29" s="24" t="s">
        <v>87</v>
      </c>
      <c r="B29" s="24" t="s">
        <v>44</v>
      </c>
      <c r="C29" s="25" t="n">
        <v>19</v>
      </c>
      <c r="D29" s="25" t="n">
        <v>0</v>
      </c>
      <c r="E29" s="25" t="n">
        <v>19</v>
      </c>
    </row>
    <row r="30" customFormat="false" ht="25.5" hidden="false" customHeight="false" outlineLevel="0" collapsed="false">
      <c r="A30" s="25"/>
      <c r="B30" s="24" t="s">
        <v>45</v>
      </c>
      <c r="C30" s="25" t="n">
        <v>1</v>
      </c>
      <c r="D30" s="25" t="n">
        <v>0</v>
      </c>
      <c r="E30" s="25" t="n">
        <v>1</v>
      </c>
    </row>
    <row r="31" customFormat="false" ht="15" hidden="false" customHeight="false" outlineLevel="0" collapsed="false">
      <c r="A31" s="25"/>
      <c r="B31" s="24" t="s">
        <v>46</v>
      </c>
      <c r="C31" s="25" t="n">
        <v>38</v>
      </c>
      <c r="D31" s="25" t="n">
        <v>19</v>
      </c>
      <c r="E31" s="25" t="n">
        <v>57</v>
      </c>
    </row>
    <row r="32" customFormat="false" ht="15" hidden="false" customHeight="false" outlineLevel="0" collapsed="false">
      <c r="A32" s="27"/>
      <c r="B32" s="28" t="s">
        <v>22</v>
      </c>
      <c r="C32" s="27" t="n">
        <v>58</v>
      </c>
      <c r="D32" s="27" t="n">
        <v>19</v>
      </c>
      <c r="E32" s="27" t="n">
        <v>77</v>
      </c>
    </row>
    <row r="33" customFormat="false" ht="15" hidden="false" customHeight="false" outlineLevel="0" collapsed="false">
      <c r="A33" s="24" t="s">
        <v>90</v>
      </c>
      <c r="B33" s="24" t="s">
        <v>91</v>
      </c>
      <c r="C33" s="25" t="n">
        <v>0</v>
      </c>
      <c r="D33" s="25" t="n">
        <v>0</v>
      </c>
      <c r="E33" s="25" t="n">
        <v>0</v>
      </c>
    </row>
    <row r="34" customFormat="false" ht="15" hidden="false" customHeight="false" outlineLevel="0" collapsed="false">
      <c r="A34" s="25"/>
      <c r="B34" s="24" t="s">
        <v>92</v>
      </c>
      <c r="C34" s="25" t="n">
        <v>18</v>
      </c>
      <c r="D34" s="25" t="n">
        <v>6</v>
      </c>
      <c r="E34" s="25" t="n">
        <v>24</v>
      </c>
    </row>
    <row r="35" customFormat="false" ht="15" hidden="false" customHeight="false" outlineLevel="0" collapsed="false">
      <c r="A35" s="25"/>
      <c r="B35" s="24" t="s">
        <v>93</v>
      </c>
      <c r="C35" s="25" t="n">
        <v>0</v>
      </c>
      <c r="D35" s="25" t="n">
        <v>0</v>
      </c>
      <c r="E35" s="25" t="n">
        <v>0</v>
      </c>
    </row>
    <row r="36" customFormat="false" ht="15" hidden="false" customHeight="false" outlineLevel="0" collapsed="false">
      <c r="A36" s="25"/>
      <c r="B36" s="24" t="s">
        <v>94</v>
      </c>
      <c r="C36" s="25" t="n">
        <v>15</v>
      </c>
      <c r="D36" s="25" t="n">
        <v>5</v>
      </c>
      <c r="E36" s="25" t="n">
        <v>20</v>
      </c>
    </row>
    <row r="37" customFormat="false" ht="15" hidden="false" customHeight="false" outlineLevel="0" collapsed="false">
      <c r="A37" s="25"/>
      <c r="B37" s="24" t="s">
        <v>95</v>
      </c>
      <c r="C37" s="25" t="n">
        <v>16</v>
      </c>
      <c r="D37" s="25" t="n">
        <v>9</v>
      </c>
      <c r="E37" s="25" t="n">
        <v>25</v>
      </c>
    </row>
    <row r="38" customFormat="false" ht="15" hidden="false" customHeight="false" outlineLevel="0" collapsed="false">
      <c r="A38" s="25"/>
      <c r="B38" s="24" t="s">
        <v>96</v>
      </c>
      <c r="C38" s="25" t="n">
        <v>20</v>
      </c>
      <c r="D38" s="25" t="n">
        <v>9</v>
      </c>
      <c r="E38" s="25" t="n">
        <v>29</v>
      </c>
    </row>
    <row r="39" customFormat="false" ht="15" hidden="false" customHeight="false" outlineLevel="0" collapsed="false">
      <c r="A39" s="25"/>
      <c r="B39" s="24" t="s">
        <v>97</v>
      </c>
      <c r="C39" s="25" t="n">
        <v>12</v>
      </c>
      <c r="D39" s="25" t="n">
        <v>0</v>
      </c>
      <c r="E39" s="25" t="n">
        <v>12</v>
      </c>
    </row>
    <row r="40" customFormat="false" ht="15" hidden="false" customHeight="false" outlineLevel="0" collapsed="false">
      <c r="A40" s="25"/>
      <c r="B40" s="24" t="s">
        <v>98</v>
      </c>
      <c r="C40" s="25" t="n">
        <v>0</v>
      </c>
      <c r="D40" s="25" t="n">
        <v>0</v>
      </c>
      <c r="E40" s="25" t="n">
        <v>0</v>
      </c>
    </row>
    <row r="41" customFormat="false" ht="15" hidden="false" customHeight="false" outlineLevel="0" collapsed="false">
      <c r="A41" s="25"/>
      <c r="B41" s="24" t="s">
        <v>99</v>
      </c>
      <c r="C41" s="25" t="n">
        <v>4</v>
      </c>
      <c r="D41" s="25" t="n">
        <v>3</v>
      </c>
      <c r="E41" s="25" t="n">
        <v>7</v>
      </c>
    </row>
    <row r="42" customFormat="false" ht="15" hidden="false" customHeight="false" outlineLevel="0" collapsed="false">
      <c r="A42" s="27"/>
      <c r="B42" s="28" t="s">
        <v>22</v>
      </c>
      <c r="C42" s="27" t="n">
        <v>85</v>
      </c>
      <c r="D42" s="27" t="n">
        <v>32</v>
      </c>
      <c r="E42" s="27" t="n">
        <v>117</v>
      </c>
    </row>
    <row r="43" customFormat="false" ht="15" hidden="false" customHeight="false" outlineLevel="0" collapsed="false">
      <c r="A43" s="24" t="s">
        <v>100</v>
      </c>
      <c r="B43" s="24" t="s">
        <v>101</v>
      </c>
      <c r="C43" s="25" t="n">
        <v>24</v>
      </c>
      <c r="D43" s="25" t="n">
        <v>11</v>
      </c>
      <c r="E43" s="25" t="n">
        <v>35</v>
      </c>
    </row>
    <row r="44" customFormat="false" ht="15" hidden="false" customHeight="false" outlineLevel="0" collapsed="false">
      <c r="A44" s="25"/>
      <c r="B44" s="24" t="s">
        <v>102</v>
      </c>
      <c r="C44" s="25" t="n">
        <v>0</v>
      </c>
      <c r="D44" s="25" t="n">
        <v>0</v>
      </c>
      <c r="E44" s="25" t="n">
        <v>0</v>
      </c>
    </row>
    <row r="45" customFormat="false" ht="15" hidden="false" customHeight="false" outlineLevel="0" collapsed="false">
      <c r="A45" s="25"/>
      <c r="B45" s="24" t="s">
        <v>103</v>
      </c>
      <c r="C45" s="25" t="n">
        <v>1</v>
      </c>
      <c r="D45" s="25" t="n">
        <v>0</v>
      </c>
      <c r="E45" s="25" t="n">
        <v>1</v>
      </c>
    </row>
    <row r="46" customFormat="false" ht="15" hidden="false" customHeight="false" outlineLevel="0" collapsed="false">
      <c r="A46" s="25"/>
      <c r="B46" s="24" t="s">
        <v>104</v>
      </c>
      <c r="C46" s="25" t="n">
        <v>0</v>
      </c>
      <c r="D46" s="25" t="n">
        <v>0</v>
      </c>
      <c r="E46" s="25" t="n">
        <v>0</v>
      </c>
    </row>
    <row r="47" customFormat="false" ht="15" hidden="false" customHeight="false" outlineLevel="0" collapsed="false">
      <c r="A47" s="25"/>
      <c r="B47" s="24" t="s">
        <v>105</v>
      </c>
      <c r="C47" s="25" t="n">
        <v>0</v>
      </c>
      <c r="D47" s="25" t="n">
        <v>0</v>
      </c>
      <c r="E47" s="25" t="n">
        <v>0</v>
      </c>
    </row>
    <row r="48" customFormat="false" ht="15" hidden="false" customHeight="false" outlineLevel="0" collapsed="false">
      <c r="A48" s="25"/>
      <c r="B48" s="24" t="s">
        <v>106</v>
      </c>
      <c r="C48" s="25" t="n">
        <v>0</v>
      </c>
      <c r="D48" s="25" t="n">
        <v>0</v>
      </c>
      <c r="E48" s="25" t="n">
        <v>0</v>
      </c>
    </row>
    <row r="49" customFormat="false" ht="15" hidden="false" customHeight="false" outlineLevel="0" collapsed="false">
      <c r="A49" s="25"/>
      <c r="B49" s="24" t="s">
        <v>107</v>
      </c>
      <c r="C49" s="25" t="n">
        <v>0</v>
      </c>
      <c r="D49" s="25" t="n">
        <v>0</v>
      </c>
      <c r="E49" s="25" t="n">
        <v>0</v>
      </c>
    </row>
    <row r="50" customFormat="false" ht="15" hidden="false" customHeight="false" outlineLevel="0" collapsed="false">
      <c r="A50" s="25"/>
      <c r="B50" s="24" t="s">
        <v>108</v>
      </c>
      <c r="C50" s="25" t="n">
        <v>2</v>
      </c>
      <c r="D50" s="25" t="n">
        <v>1</v>
      </c>
      <c r="E50" s="25" t="n">
        <v>3</v>
      </c>
    </row>
    <row r="51" customFormat="false" ht="15" hidden="false" customHeight="false" outlineLevel="0" collapsed="false">
      <c r="A51" s="25"/>
      <c r="B51" s="24" t="s">
        <v>109</v>
      </c>
      <c r="C51" s="25" t="n">
        <v>12</v>
      </c>
      <c r="D51" s="25" t="n">
        <v>15</v>
      </c>
      <c r="E51" s="25" t="n">
        <v>27</v>
      </c>
    </row>
    <row r="52" customFormat="false" ht="15" hidden="false" customHeight="false" outlineLevel="0" collapsed="false">
      <c r="A52" s="25"/>
      <c r="B52" s="24" t="s">
        <v>110</v>
      </c>
      <c r="C52" s="25" t="n">
        <v>5</v>
      </c>
      <c r="D52" s="25" t="n">
        <v>3</v>
      </c>
      <c r="E52" s="25" t="n">
        <v>8</v>
      </c>
    </row>
    <row r="53" customFormat="false" ht="15" hidden="false" customHeight="false" outlineLevel="0" collapsed="false">
      <c r="A53" s="25"/>
      <c r="B53" s="24" t="s">
        <v>111</v>
      </c>
      <c r="C53" s="25" t="n">
        <v>0</v>
      </c>
      <c r="D53" s="25" t="n">
        <v>0</v>
      </c>
      <c r="E53" s="25" t="n">
        <v>0</v>
      </c>
    </row>
    <row r="54" customFormat="false" ht="15" hidden="false" customHeight="false" outlineLevel="0" collapsed="false">
      <c r="A54" s="25"/>
      <c r="B54" s="24" t="s">
        <v>112</v>
      </c>
      <c r="C54" s="25" t="n">
        <v>0</v>
      </c>
      <c r="D54" s="25" t="n">
        <v>0</v>
      </c>
      <c r="E54" s="25" t="n">
        <v>0</v>
      </c>
    </row>
    <row r="55" customFormat="false" ht="15" hidden="false" customHeight="false" outlineLevel="0" collapsed="false">
      <c r="A55" s="25"/>
      <c r="B55" s="24" t="s">
        <v>113</v>
      </c>
      <c r="C55" s="25" t="n">
        <v>0</v>
      </c>
      <c r="D55" s="25" t="n">
        <v>0</v>
      </c>
      <c r="E55" s="25" t="n">
        <v>0</v>
      </c>
    </row>
    <row r="56" customFormat="false" ht="15" hidden="false" customHeight="false" outlineLevel="0" collapsed="false">
      <c r="A56" s="25"/>
      <c r="B56" s="24" t="s">
        <v>114</v>
      </c>
      <c r="C56" s="25" t="n">
        <v>0</v>
      </c>
      <c r="D56" s="25" t="n">
        <v>0</v>
      </c>
      <c r="E56" s="25" t="n">
        <v>0</v>
      </c>
    </row>
    <row r="57" customFormat="false" ht="15" hidden="false" customHeight="false" outlineLevel="0" collapsed="false">
      <c r="A57" s="25"/>
      <c r="B57" s="24" t="s">
        <v>115</v>
      </c>
      <c r="C57" s="25" t="n">
        <v>9</v>
      </c>
      <c r="D57" s="25" t="n">
        <v>5</v>
      </c>
      <c r="E57" s="25" t="n">
        <v>14</v>
      </c>
    </row>
    <row r="58" customFormat="false" ht="15" hidden="false" customHeight="false" outlineLevel="0" collapsed="false">
      <c r="A58" s="25"/>
      <c r="B58" s="24" t="s">
        <v>116</v>
      </c>
      <c r="C58" s="25" t="n">
        <v>1</v>
      </c>
      <c r="D58" s="25" t="n">
        <v>0</v>
      </c>
      <c r="E58" s="25" t="n">
        <v>1</v>
      </c>
    </row>
    <row r="59" customFormat="false" ht="15" hidden="false" customHeight="false" outlineLevel="0" collapsed="false">
      <c r="A59" s="27"/>
      <c r="B59" s="28" t="s">
        <v>22</v>
      </c>
      <c r="C59" s="27" t="n">
        <v>54</v>
      </c>
      <c r="D59" s="27" t="n">
        <v>35</v>
      </c>
      <c r="E59" s="27" t="n">
        <v>89</v>
      </c>
    </row>
    <row r="60" customFormat="false" ht="25.5" hidden="false" customHeight="false" outlineLevel="0" collapsed="false">
      <c r="A60" s="30"/>
      <c r="B60" s="30" t="s">
        <v>74</v>
      </c>
      <c r="C60" s="31" t="n">
        <v>223</v>
      </c>
      <c r="D60" s="31" t="n">
        <v>99</v>
      </c>
      <c r="E60" s="31" t="n">
        <v>322</v>
      </c>
    </row>
    <row r="61" customFormat="false" ht="25.5" hidden="false" customHeight="false" outlineLevel="0" collapsed="false">
      <c r="A61" s="32"/>
      <c r="B61" s="32" t="s">
        <v>117</v>
      </c>
      <c r="C61" s="33" t="n">
        <v>0.692546583850932</v>
      </c>
      <c r="D61" s="33" t="n">
        <v>0.307453416149068</v>
      </c>
      <c r="E61" s="33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9" activeCellId="0" sqref="D29"/>
    </sheetView>
  </sheetViews>
  <sheetFormatPr defaultRowHeight="15" outlineLevelRow="0" outlineLevelCol="0"/>
  <cols>
    <col collapsed="false" customWidth="true" hidden="false" outlineLevel="0" max="1" min="1" style="0" width="21.86"/>
    <col collapsed="false" customWidth="true" hidden="false" outlineLevel="0" max="2" min="2" style="0" width="15"/>
    <col collapsed="false" customWidth="true" hidden="false" outlineLevel="0" max="1025" min="3" style="0" width="8.67"/>
  </cols>
  <sheetData>
    <row r="1" customFormat="false" ht="15" hidden="false" customHeight="false" outlineLevel="0" collapsed="false">
      <c r="A1" s="2"/>
      <c r="B1" s="20" t="s">
        <v>75</v>
      </c>
      <c r="C1" s="21"/>
      <c r="D1" s="21"/>
      <c r="E1" s="21"/>
      <c r="F1" s="21"/>
    </row>
    <row r="2" customFormat="false" ht="15" hidden="false" customHeight="false" outlineLevel="0" collapsed="false">
      <c r="A2" s="2"/>
      <c r="B2" s="20" t="s">
        <v>1</v>
      </c>
      <c r="C2" s="22" t="s">
        <v>76</v>
      </c>
      <c r="D2" s="22"/>
      <c r="E2" s="21"/>
      <c r="F2" s="21"/>
    </row>
    <row r="3" customFormat="false" ht="15" hidden="false" customHeight="false" outlineLevel="0" collapsed="false">
      <c r="A3" s="23" t="s">
        <v>2</v>
      </c>
      <c r="B3" s="23" t="s">
        <v>77</v>
      </c>
      <c r="C3" s="23" t="s">
        <v>78</v>
      </c>
      <c r="D3" s="23" t="s">
        <v>79</v>
      </c>
      <c r="E3" s="23" t="s">
        <v>80</v>
      </c>
      <c r="F3" s="2"/>
    </row>
    <row r="4" customFormat="false" ht="15" hidden="false" customHeight="false" outlineLevel="0" collapsed="false">
      <c r="A4" s="24" t="s">
        <v>81</v>
      </c>
      <c r="B4" s="24" t="s">
        <v>18</v>
      </c>
      <c r="C4" s="25" t="n">
        <v>0</v>
      </c>
      <c r="D4" s="25" t="n">
        <v>0</v>
      </c>
      <c r="E4" s="25" t="n">
        <f aca="false">C4+D4</f>
        <v>0</v>
      </c>
      <c r="F4" s="2"/>
    </row>
    <row r="5" customFormat="false" ht="15" hidden="false" customHeight="false" outlineLevel="0" collapsed="false">
      <c r="A5" s="26"/>
      <c r="B5" s="24" t="s">
        <v>19</v>
      </c>
      <c r="C5" s="25" t="n">
        <v>4</v>
      </c>
      <c r="D5" s="25" t="n">
        <v>0</v>
      </c>
      <c r="E5" s="25" t="n">
        <f aca="false">C5+D5</f>
        <v>4</v>
      </c>
      <c r="F5" s="2"/>
    </row>
    <row r="6" customFormat="false" ht="15" hidden="false" customHeight="false" outlineLevel="0" collapsed="false">
      <c r="A6" s="26"/>
      <c r="B6" s="24" t="s">
        <v>20</v>
      </c>
      <c r="C6" s="25" t="n">
        <v>0</v>
      </c>
      <c r="D6" s="25" t="n">
        <v>0</v>
      </c>
      <c r="E6" s="25" t="n">
        <f aca="false">C6+D6</f>
        <v>0</v>
      </c>
      <c r="F6" s="2"/>
    </row>
    <row r="7" customFormat="false" ht="15" hidden="false" customHeight="false" outlineLevel="0" collapsed="false">
      <c r="A7" s="26"/>
      <c r="B7" s="24" t="s">
        <v>21</v>
      </c>
      <c r="C7" s="25" t="n">
        <v>1</v>
      </c>
      <c r="D7" s="25" t="n">
        <v>1</v>
      </c>
      <c r="E7" s="25" t="n">
        <f aca="false">C7+D7</f>
        <v>2</v>
      </c>
      <c r="F7" s="2"/>
    </row>
    <row r="8" customFormat="false" ht="15" hidden="false" customHeight="false" outlineLevel="0" collapsed="false">
      <c r="A8" s="27"/>
      <c r="B8" s="28" t="s">
        <v>22</v>
      </c>
      <c r="C8" s="27" t="n">
        <f aca="false">SUM(C4:C7)</f>
        <v>5</v>
      </c>
      <c r="D8" s="27" t="n">
        <f aca="false">SUM(D4:D7)</f>
        <v>1</v>
      </c>
      <c r="E8" s="27" t="n">
        <f aca="false">SUM(E4:E7)</f>
        <v>6</v>
      </c>
      <c r="F8" s="2"/>
    </row>
    <row r="9" customFormat="false" ht="15" hidden="false" customHeight="false" outlineLevel="0" collapsed="false">
      <c r="A9" s="24" t="s">
        <v>82</v>
      </c>
      <c r="B9" s="24" t="s">
        <v>24</v>
      </c>
      <c r="C9" s="25" t="n">
        <v>0</v>
      </c>
      <c r="D9" s="25" t="n">
        <v>0</v>
      </c>
      <c r="E9" s="25" t="n">
        <f aca="false">C9+D9</f>
        <v>0</v>
      </c>
      <c r="F9" s="2"/>
    </row>
    <row r="10" customFormat="false" ht="15" hidden="false" customHeight="false" outlineLevel="0" collapsed="false">
      <c r="A10" s="29"/>
      <c r="B10" s="24" t="s">
        <v>25</v>
      </c>
      <c r="C10" s="25" t="n">
        <v>3</v>
      </c>
      <c r="D10" s="25" t="n">
        <v>0</v>
      </c>
      <c r="E10" s="25" t="n">
        <f aca="false">C10+D10</f>
        <v>3</v>
      </c>
      <c r="F10" s="2"/>
    </row>
    <row r="11" customFormat="false" ht="15" hidden="false" customHeight="false" outlineLevel="0" collapsed="false">
      <c r="A11" s="29"/>
      <c r="B11" s="24" t="s">
        <v>26</v>
      </c>
      <c r="C11" s="25" t="n">
        <v>1</v>
      </c>
      <c r="D11" s="25" t="n">
        <v>0</v>
      </c>
      <c r="E11" s="25" t="n">
        <f aca="false">C11+D11</f>
        <v>1</v>
      </c>
      <c r="F11" s="2"/>
    </row>
    <row r="12" customFormat="false" ht="15" hidden="false" customHeight="false" outlineLevel="0" collapsed="false">
      <c r="A12" s="29"/>
      <c r="B12" s="24" t="s">
        <v>27</v>
      </c>
      <c r="C12" s="25" t="n">
        <v>1</v>
      </c>
      <c r="D12" s="25" t="n">
        <v>1</v>
      </c>
      <c r="E12" s="25" t="n">
        <f aca="false">C12+D12</f>
        <v>2</v>
      </c>
      <c r="F12" s="2"/>
    </row>
    <row r="13" customFormat="false" ht="15" hidden="false" customHeight="false" outlineLevel="0" collapsed="false">
      <c r="A13" s="27"/>
      <c r="B13" s="28" t="s">
        <v>22</v>
      </c>
      <c r="C13" s="27" t="n">
        <f aca="false">SUM(C9:C12)</f>
        <v>5</v>
      </c>
      <c r="D13" s="27" t="n">
        <f aca="false">SUM(D9:D12)</f>
        <v>1</v>
      </c>
      <c r="E13" s="27" t="n">
        <f aca="false">SUM(E9:E12)</f>
        <v>6</v>
      </c>
      <c r="F13" s="2"/>
    </row>
    <row r="14" customFormat="false" ht="15" hidden="false" customHeight="false" outlineLevel="0" collapsed="false">
      <c r="A14" s="24" t="s">
        <v>83</v>
      </c>
      <c r="B14" s="24" t="s">
        <v>29</v>
      </c>
      <c r="C14" s="25" t="n">
        <v>0</v>
      </c>
      <c r="D14" s="25" t="n">
        <v>0</v>
      </c>
      <c r="E14" s="25" t="n">
        <f aca="false">C14+D14</f>
        <v>0</v>
      </c>
      <c r="F14" s="2"/>
    </row>
    <row r="15" customFormat="false" ht="15" hidden="false" customHeight="false" outlineLevel="0" collapsed="false">
      <c r="A15" s="27"/>
      <c r="B15" s="28" t="s">
        <v>22</v>
      </c>
      <c r="C15" s="27" t="n">
        <f aca="false">SUM(C14)</f>
        <v>0</v>
      </c>
      <c r="D15" s="27" t="n">
        <f aca="false">SUM(D14)</f>
        <v>0</v>
      </c>
      <c r="E15" s="27" t="n">
        <f aca="false">SUM(E14)</f>
        <v>0</v>
      </c>
      <c r="F15" s="2"/>
    </row>
    <row r="16" customFormat="false" ht="15" hidden="false" customHeight="false" outlineLevel="0" collapsed="false">
      <c r="A16" s="24" t="s">
        <v>84</v>
      </c>
      <c r="B16" s="24" t="s">
        <v>31</v>
      </c>
      <c r="C16" s="25" t="n">
        <v>0</v>
      </c>
      <c r="D16" s="25" t="n">
        <v>0</v>
      </c>
      <c r="E16" s="25" t="n">
        <f aca="false">C16+D16</f>
        <v>0</v>
      </c>
      <c r="F16" s="2"/>
    </row>
    <row r="17" customFormat="false" ht="15" hidden="false" customHeight="false" outlineLevel="0" collapsed="false">
      <c r="A17" s="25"/>
      <c r="B17" s="24" t="s">
        <v>32</v>
      </c>
      <c r="C17" s="25" t="n">
        <v>1</v>
      </c>
      <c r="D17" s="25" t="n">
        <v>0</v>
      </c>
      <c r="E17" s="25" t="n">
        <f aca="false">C17+D17</f>
        <v>1</v>
      </c>
      <c r="F17" s="2"/>
    </row>
    <row r="18" customFormat="false" ht="15" hidden="false" customHeight="false" outlineLevel="0" collapsed="false">
      <c r="A18" s="25"/>
      <c r="B18" s="24" t="s">
        <v>33</v>
      </c>
      <c r="C18" s="25" t="n">
        <v>0</v>
      </c>
      <c r="D18" s="25" t="n">
        <v>0</v>
      </c>
      <c r="E18" s="25" t="n">
        <f aca="false">C18+D18</f>
        <v>0</v>
      </c>
      <c r="F18" s="2"/>
    </row>
    <row r="19" customFormat="false" ht="15" hidden="false" customHeight="false" outlineLevel="0" collapsed="false">
      <c r="A19" s="27"/>
      <c r="B19" s="28" t="s">
        <v>22</v>
      </c>
      <c r="C19" s="27" t="n">
        <f aca="false">SUM(C16:C18)</f>
        <v>1</v>
      </c>
      <c r="D19" s="27" t="n">
        <f aca="false">SUM(D16:D18)</f>
        <v>0</v>
      </c>
      <c r="E19" s="27" t="n">
        <f aca="false">SUM(E16:E18)</f>
        <v>1</v>
      </c>
      <c r="F19" s="2"/>
    </row>
    <row r="20" customFormat="false" ht="15" hidden="false" customHeight="false" outlineLevel="0" collapsed="false">
      <c r="A20" s="24" t="s">
        <v>85</v>
      </c>
      <c r="B20" s="24" t="s">
        <v>35</v>
      </c>
      <c r="C20" s="25" t="n">
        <v>1</v>
      </c>
      <c r="D20" s="25" t="n">
        <v>2</v>
      </c>
      <c r="E20" s="25" t="n">
        <f aca="false">C20+D20</f>
        <v>3</v>
      </c>
      <c r="F20" s="2"/>
    </row>
    <row r="21" customFormat="false" ht="15" hidden="false" customHeight="false" outlineLevel="0" collapsed="false">
      <c r="A21" s="25"/>
      <c r="B21" s="24" t="s">
        <v>36</v>
      </c>
      <c r="C21" s="25" t="n">
        <v>2</v>
      </c>
      <c r="D21" s="25" t="n">
        <v>0</v>
      </c>
      <c r="E21" s="25" t="n">
        <f aca="false">C21+D21</f>
        <v>2</v>
      </c>
      <c r="F21" s="2"/>
    </row>
    <row r="22" customFormat="false" ht="15" hidden="false" customHeight="false" outlineLevel="0" collapsed="false">
      <c r="A22" s="25"/>
      <c r="B22" s="24" t="s">
        <v>37</v>
      </c>
      <c r="C22" s="25" t="n">
        <v>0</v>
      </c>
      <c r="D22" s="25" t="n">
        <v>1</v>
      </c>
      <c r="E22" s="25" t="n">
        <f aca="false">C22+D22</f>
        <v>1</v>
      </c>
      <c r="F22" s="2"/>
    </row>
    <row r="23" customFormat="false" ht="15" hidden="false" customHeight="false" outlineLevel="0" collapsed="false">
      <c r="A23" s="27"/>
      <c r="B23" s="28" t="s">
        <v>22</v>
      </c>
      <c r="C23" s="27" t="n">
        <f aca="false">SUM(C20:C22)</f>
        <v>3</v>
      </c>
      <c r="D23" s="27" t="n">
        <f aca="false">SUM(D20:D22)</f>
        <v>3</v>
      </c>
      <c r="E23" s="27" t="n">
        <f aca="false">SUM(E20:E22)</f>
        <v>6</v>
      </c>
      <c r="F23" s="2"/>
    </row>
    <row r="24" customFormat="false" ht="15" hidden="false" customHeight="false" outlineLevel="0" collapsed="false">
      <c r="A24" s="24" t="s">
        <v>86</v>
      </c>
      <c r="B24" s="24" t="s">
        <v>39</v>
      </c>
      <c r="C24" s="25" t="n">
        <v>0</v>
      </c>
      <c r="D24" s="25" t="n">
        <v>0</v>
      </c>
      <c r="E24" s="25" t="n">
        <f aca="false">C24+D24</f>
        <v>0</v>
      </c>
      <c r="F24" s="2"/>
    </row>
    <row r="25" customFormat="false" ht="15" hidden="false" customHeight="false" outlineLevel="0" collapsed="false">
      <c r="A25" s="25"/>
      <c r="B25" s="24" t="s">
        <v>40</v>
      </c>
      <c r="C25" s="25" t="n">
        <v>2</v>
      </c>
      <c r="D25" s="25" t="n">
        <v>0</v>
      </c>
      <c r="E25" s="25" t="n">
        <f aca="false">C25+D25</f>
        <v>2</v>
      </c>
      <c r="F25" s="2"/>
    </row>
    <row r="26" customFormat="false" ht="15" hidden="false" customHeight="false" outlineLevel="0" collapsed="false">
      <c r="A26" s="25"/>
      <c r="B26" s="24" t="s">
        <v>41</v>
      </c>
      <c r="C26" s="25" t="n">
        <v>8</v>
      </c>
      <c r="D26" s="25" t="n">
        <v>8</v>
      </c>
      <c r="E26" s="25" t="n">
        <f aca="false">C26+D26</f>
        <v>16</v>
      </c>
      <c r="F26" s="2"/>
    </row>
    <row r="27" customFormat="false" ht="15" hidden="false" customHeight="false" outlineLevel="0" collapsed="false">
      <c r="A27" s="25"/>
      <c r="B27" s="24" t="s">
        <v>42</v>
      </c>
      <c r="C27" s="25" t="n">
        <v>2</v>
      </c>
      <c r="D27" s="25" t="n">
        <v>0</v>
      </c>
      <c r="E27" s="25" t="n">
        <f aca="false">C27+D27</f>
        <v>2</v>
      </c>
      <c r="F27" s="2"/>
    </row>
    <row r="28" customFormat="false" ht="15" hidden="false" customHeight="false" outlineLevel="0" collapsed="false">
      <c r="A28" s="27"/>
      <c r="B28" s="28" t="s">
        <v>22</v>
      </c>
      <c r="C28" s="27" t="n">
        <f aca="false">SUM(C24:C27)</f>
        <v>12</v>
      </c>
      <c r="D28" s="27" t="n">
        <f aca="false">SUM(D24:D27)</f>
        <v>8</v>
      </c>
      <c r="E28" s="27" t="n">
        <f aca="false">SUM(E24:E27)</f>
        <v>20</v>
      </c>
      <c r="F28" s="2"/>
    </row>
    <row r="29" customFormat="false" ht="15" hidden="false" customHeight="false" outlineLevel="0" collapsed="false">
      <c r="A29" s="24" t="s">
        <v>87</v>
      </c>
      <c r="B29" s="24" t="s">
        <v>88</v>
      </c>
      <c r="C29" s="25" t="n">
        <v>19</v>
      </c>
      <c r="D29" s="25" t="n">
        <v>0</v>
      </c>
      <c r="E29" s="25" t="n">
        <f aca="false">C29+D29</f>
        <v>19</v>
      </c>
      <c r="F29" s="2"/>
    </row>
    <row r="30" customFormat="false" ht="25.5" hidden="false" customHeight="false" outlineLevel="0" collapsed="false">
      <c r="A30" s="24"/>
      <c r="B30" s="24" t="s">
        <v>89</v>
      </c>
      <c r="C30" s="25"/>
      <c r="D30" s="25"/>
      <c r="E30" s="25"/>
      <c r="F30" s="2"/>
    </row>
    <row r="31" customFormat="false" ht="15" hidden="false" customHeight="false" outlineLevel="0" collapsed="false">
      <c r="A31" s="25"/>
      <c r="B31" s="24" t="s">
        <v>45</v>
      </c>
      <c r="C31" s="25" t="n">
        <v>1</v>
      </c>
      <c r="D31" s="25" t="n">
        <v>0</v>
      </c>
      <c r="E31" s="25" t="n">
        <f aca="false">C31+D31</f>
        <v>1</v>
      </c>
      <c r="F31" s="2"/>
    </row>
    <row r="32" customFormat="false" ht="15" hidden="false" customHeight="false" outlineLevel="0" collapsed="false">
      <c r="A32" s="25"/>
      <c r="B32" s="24" t="s">
        <v>46</v>
      </c>
      <c r="C32" s="25" t="n">
        <v>38</v>
      </c>
      <c r="D32" s="25" t="n">
        <v>19</v>
      </c>
      <c r="E32" s="25" t="n">
        <f aca="false">C32+D32</f>
        <v>57</v>
      </c>
      <c r="F32" s="2"/>
    </row>
    <row r="33" customFormat="false" ht="15" hidden="false" customHeight="false" outlineLevel="0" collapsed="false">
      <c r="A33" s="27"/>
      <c r="B33" s="28" t="s">
        <v>22</v>
      </c>
      <c r="C33" s="27" t="n">
        <f aca="false">SUM(C29:C32)</f>
        <v>58</v>
      </c>
      <c r="D33" s="27" t="n">
        <f aca="false">SUM(D29:D32)</f>
        <v>19</v>
      </c>
      <c r="E33" s="27" t="n">
        <f aca="false">SUM(E29:E32)</f>
        <v>77</v>
      </c>
      <c r="F33" s="2"/>
    </row>
    <row r="34" customFormat="false" ht="15" hidden="false" customHeight="false" outlineLevel="0" collapsed="false">
      <c r="A34" s="24" t="s">
        <v>90</v>
      </c>
      <c r="B34" s="24" t="s">
        <v>91</v>
      </c>
      <c r="C34" s="25" t="n">
        <v>0</v>
      </c>
      <c r="D34" s="25" t="n">
        <v>0</v>
      </c>
      <c r="E34" s="25" t="n">
        <f aca="false">C34+D34</f>
        <v>0</v>
      </c>
      <c r="F34" s="2"/>
    </row>
    <row r="35" customFormat="false" ht="15" hidden="false" customHeight="false" outlineLevel="0" collapsed="false">
      <c r="A35" s="25"/>
      <c r="B35" s="24" t="s">
        <v>92</v>
      </c>
      <c r="C35" s="25" t="n">
        <v>18</v>
      </c>
      <c r="D35" s="25" t="n">
        <v>6</v>
      </c>
      <c r="E35" s="25" t="n">
        <f aca="false">C35+D35</f>
        <v>24</v>
      </c>
      <c r="F35" s="2"/>
    </row>
    <row r="36" customFormat="false" ht="15" hidden="false" customHeight="false" outlineLevel="0" collapsed="false">
      <c r="A36" s="25"/>
      <c r="B36" s="24" t="s">
        <v>93</v>
      </c>
      <c r="C36" s="25" t="n">
        <v>0</v>
      </c>
      <c r="D36" s="25" t="n">
        <v>0</v>
      </c>
      <c r="E36" s="25" t="n">
        <f aca="false">C36+D36</f>
        <v>0</v>
      </c>
      <c r="F36" s="2"/>
    </row>
    <row r="37" customFormat="false" ht="15" hidden="false" customHeight="false" outlineLevel="0" collapsed="false">
      <c r="A37" s="25"/>
      <c r="B37" s="24" t="s">
        <v>94</v>
      </c>
      <c r="C37" s="25" t="n">
        <v>15</v>
      </c>
      <c r="D37" s="25" t="n">
        <v>5</v>
      </c>
      <c r="E37" s="25" t="n">
        <f aca="false">C37+D37</f>
        <v>20</v>
      </c>
      <c r="F37" s="2"/>
    </row>
    <row r="38" customFormat="false" ht="15" hidden="false" customHeight="false" outlineLevel="0" collapsed="false">
      <c r="A38" s="25"/>
      <c r="B38" s="24" t="s">
        <v>95</v>
      </c>
      <c r="C38" s="25" t="n">
        <v>16</v>
      </c>
      <c r="D38" s="25" t="n">
        <v>9</v>
      </c>
      <c r="E38" s="25" t="n">
        <f aca="false">C38+D38</f>
        <v>25</v>
      </c>
      <c r="F38" s="2"/>
    </row>
    <row r="39" customFormat="false" ht="15" hidden="false" customHeight="false" outlineLevel="0" collapsed="false">
      <c r="A39" s="25"/>
      <c r="B39" s="24" t="s">
        <v>96</v>
      </c>
      <c r="C39" s="25" t="n">
        <v>20</v>
      </c>
      <c r="D39" s="25" t="n">
        <v>9</v>
      </c>
      <c r="E39" s="25" t="n">
        <f aca="false">C39+D39</f>
        <v>29</v>
      </c>
      <c r="F39" s="2"/>
    </row>
    <row r="40" customFormat="false" ht="15" hidden="false" customHeight="false" outlineLevel="0" collapsed="false">
      <c r="A40" s="25"/>
      <c r="B40" s="24" t="s">
        <v>97</v>
      </c>
      <c r="C40" s="25" t="n">
        <v>12</v>
      </c>
      <c r="D40" s="25" t="n">
        <v>0</v>
      </c>
      <c r="E40" s="25" t="n">
        <f aca="false">C40+D40</f>
        <v>12</v>
      </c>
      <c r="F40" s="2"/>
    </row>
    <row r="41" customFormat="false" ht="15" hidden="false" customHeight="false" outlineLevel="0" collapsed="false">
      <c r="A41" s="25"/>
      <c r="B41" s="24" t="s">
        <v>98</v>
      </c>
      <c r="C41" s="25" t="n">
        <v>0</v>
      </c>
      <c r="D41" s="25" t="n">
        <v>0</v>
      </c>
      <c r="E41" s="25" t="n">
        <f aca="false">C41+D41</f>
        <v>0</v>
      </c>
      <c r="F41" s="2"/>
    </row>
    <row r="42" customFormat="false" ht="15" hidden="false" customHeight="false" outlineLevel="0" collapsed="false">
      <c r="A42" s="25"/>
      <c r="B42" s="24" t="s">
        <v>99</v>
      </c>
      <c r="C42" s="25" t="n">
        <v>4</v>
      </c>
      <c r="D42" s="25" t="n">
        <v>3</v>
      </c>
      <c r="E42" s="25" t="n">
        <f aca="false">C42+D42</f>
        <v>7</v>
      </c>
      <c r="F42" s="2"/>
    </row>
    <row r="43" customFormat="false" ht="15" hidden="false" customHeight="false" outlineLevel="0" collapsed="false">
      <c r="A43" s="27"/>
      <c r="B43" s="28" t="s">
        <v>22</v>
      </c>
      <c r="C43" s="27" t="n">
        <f aca="false">SUM(C34:C42)</f>
        <v>85</v>
      </c>
      <c r="D43" s="27" t="n">
        <f aca="false">SUM(D34:D42)</f>
        <v>32</v>
      </c>
      <c r="E43" s="27" t="n">
        <f aca="false">SUM(E34:E42)</f>
        <v>117</v>
      </c>
      <c r="F43" s="2"/>
    </row>
    <row r="44" customFormat="false" ht="15" hidden="false" customHeight="false" outlineLevel="0" collapsed="false">
      <c r="A44" s="24" t="s">
        <v>100</v>
      </c>
      <c r="B44" s="24" t="s">
        <v>101</v>
      </c>
      <c r="C44" s="25" t="n">
        <v>24</v>
      </c>
      <c r="D44" s="25" t="n">
        <v>11</v>
      </c>
      <c r="E44" s="25" t="n">
        <f aca="false">C44+D44</f>
        <v>35</v>
      </c>
      <c r="F44" s="2"/>
    </row>
    <row r="45" customFormat="false" ht="15" hidden="false" customHeight="false" outlineLevel="0" collapsed="false">
      <c r="A45" s="25"/>
      <c r="B45" s="24" t="s">
        <v>102</v>
      </c>
      <c r="C45" s="25" t="n">
        <v>0</v>
      </c>
      <c r="D45" s="25" t="n">
        <v>0</v>
      </c>
      <c r="E45" s="25" t="n">
        <f aca="false">C45+D45</f>
        <v>0</v>
      </c>
      <c r="F45" s="2"/>
    </row>
    <row r="46" customFormat="false" ht="15" hidden="false" customHeight="false" outlineLevel="0" collapsed="false">
      <c r="A46" s="25"/>
      <c r="B46" s="24" t="s">
        <v>103</v>
      </c>
      <c r="C46" s="25" t="n">
        <v>1</v>
      </c>
      <c r="D46" s="25" t="n">
        <v>0</v>
      </c>
      <c r="E46" s="25" t="n">
        <f aca="false">C46+D46</f>
        <v>1</v>
      </c>
      <c r="F46" s="2"/>
    </row>
    <row r="47" customFormat="false" ht="15" hidden="false" customHeight="false" outlineLevel="0" collapsed="false">
      <c r="A47" s="25"/>
      <c r="B47" s="24" t="s">
        <v>104</v>
      </c>
      <c r="C47" s="25" t="n">
        <v>0</v>
      </c>
      <c r="D47" s="25" t="n">
        <v>0</v>
      </c>
      <c r="E47" s="25" t="n">
        <f aca="false">C47+D47</f>
        <v>0</v>
      </c>
      <c r="F47" s="2"/>
    </row>
    <row r="48" customFormat="false" ht="15" hidden="false" customHeight="false" outlineLevel="0" collapsed="false">
      <c r="A48" s="25"/>
      <c r="B48" s="24" t="s">
        <v>105</v>
      </c>
      <c r="C48" s="25" t="n">
        <v>0</v>
      </c>
      <c r="D48" s="25" t="n">
        <v>0</v>
      </c>
      <c r="E48" s="25" t="n">
        <f aca="false">C48+D48</f>
        <v>0</v>
      </c>
      <c r="F48" s="2"/>
    </row>
    <row r="49" customFormat="false" ht="15" hidden="false" customHeight="false" outlineLevel="0" collapsed="false">
      <c r="A49" s="25"/>
      <c r="B49" s="24" t="s">
        <v>106</v>
      </c>
      <c r="C49" s="25" t="n">
        <v>0</v>
      </c>
      <c r="D49" s="25" t="n">
        <v>0</v>
      </c>
      <c r="E49" s="25" t="n">
        <f aca="false">C49+D49</f>
        <v>0</v>
      </c>
      <c r="F49" s="2"/>
    </row>
    <row r="50" customFormat="false" ht="15" hidden="false" customHeight="false" outlineLevel="0" collapsed="false">
      <c r="A50" s="25"/>
      <c r="B50" s="24" t="s">
        <v>107</v>
      </c>
      <c r="C50" s="25" t="n">
        <v>0</v>
      </c>
      <c r="D50" s="25" t="n">
        <v>0</v>
      </c>
      <c r="E50" s="25" t="n">
        <f aca="false">C50+D50</f>
        <v>0</v>
      </c>
      <c r="F50" s="2"/>
    </row>
    <row r="51" customFormat="false" ht="15" hidden="false" customHeight="false" outlineLevel="0" collapsed="false">
      <c r="A51" s="25"/>
      <c r="B51" s="24" t="s">
        <v>108</v>
      </c>
      <c r="C51" s="25" t="n">
        <v>2</v>
      </c>
      <c r="D51" s="25" t="n">
        <v>1</v>
      </c>
      <c r="E51" s="25" t="n">
        <f aca="false">C51+D51</f>
        <v>3</v>
      </c>
      <c r="F51" s="2"/>
    </row>
    <row r="52" customFormat="false" ht="15" hidden="false" customHeight="false" outlineLevel="0" collapsed="false">
      <c r="A52" s="25"/>
      <c r="B52" s="24" t="s">
        <v>109</v>
      </c>
      <c r="C52" s="25" t="n">
        <v>12</v>
      </c>
      <c r="D52" s="25" t="n">
        <v>15</v>
      </c>
      <c r="E52" s="25" t="n">
        <f aca="false">C52+D52</f>
        <v>27</v>
      </c>
      <c r="F52" s="2"/>
    </row>
    <row r="53" customFormat="false" ht="15" hidden="false" customHeight="false" outlineLevel="0" collapsed="false">
      <c r="A53" s="25"/>
      <c r="B53" s="24" t="s">
        <v>110</v>
      </c>
      <c r="C53" s="25" t="n">
        <v>5</v>
      </c>
      <c r="D53" s="25" t="n">
        <v>3</v>
      </c>
      <c r="E53" s="25" t="n">
        <f aca="false">C53+D53</f>
        <v>8</v>
      </c>
      <c r="F53" s="2"/>
    </row>
    <row r="54" customFormat="false" ht="15" hidden="false" customHeight="false" outlineLevel="0" collapsed="false">
      <c r="A54" s="25"/>
      <c r="B54" s="24" t="s">
        <v>111</v>
      </c>
      <c r="C54" s="25" t="n">
        <v>0</v>
      </c>
      <c r="D54" s="25" t="n">
        <v>0</v>
      </c>
      <c r="E54" s="25" t="n">
        <f aca="false">C54+D54</f>
        <v>0</v>
      </c>
      <c r="F54" s="2"/>
    </row>
    <row r="55" customFormat="false" ht="15" hidden="false" customHeight="false" outlineLevel="0" collapsed="false">
      <c r="A55" s="25"/>
      <c r="B55" s="24" t="s">
        <v>112</v>
      </c>
      <c r="C55" s="25" t="n">
        <v>0</v>
      </c>
      <c r="D55" s="25" t="n">
        <v>0</v>
      </c>
      <c r="E55" s="25" t="n">
        <f aca="false">C55+D55</f>
        <v>0</v>
      </c>
      <c r="F55" s="2"/>
    </row>
    <row r="56" customFormat="false" ht="15" hidden="false" customHeight="false" outlineLevel="0" collapsed="false">
      <c r="A56" s="25"/>
      <c r="B56" s="24" t="s">
        <v>113</v>
      </c>
      <c r="C56" s="25" t="n">
        <v>0</v>
      </c>
      <c r="D56" s="25" t="n">
        <v>0</v>
      </c>
      <c r="E56" s="25" t="n">
        <f aca="false">C56+D56</f>
        <v>0</v>
      </c>
      <c r="F56" s="2"/>
    </row>
    <row r="57" customFormat="false" ht="15" hidden="false" customHeight="false" outlineLevel="0" collapsed="false">
      <c r="A57" s="25"/>
      <c r="B57" s="24" t="s">
        <v>114</v>
      </c>
      <c r="C57" s="25" t="n">
        <v>0</v>
      </c>
      <c r="D57" s="25" t="n">
        <v>0</v>
      </c>
      <c r="E57" s="25" t="n">
        <f aca="false">C57+D57</f>
        <v>0</v>
      </c>
      <c r="F57" s="2"/>
    </row>
    <row r="58" customFormat="false" ht="15" hidden="false" customHeight="false" outlineLevel="0" collapsed="false">
      <c r="A58" s="25"/>
      <c r="B58" s="24" t="s">
        <v>115</v>
      </c>
      <c r="C58" s="25" t="n">
        <v>9</v>
      </c>
      <c r="D58" s="25" t="n">
        <v>5</v>
      </c>
      <c r="E58" s="25" t="n">
        <f aca="false">C58+D58</f>
        <v>14</v>
      </c>
      <c r="F58" s="2"/>
    </row>
    <row r="59" customFormat="false" ht="15" hidden="false" customHeight="false" outlineLevel="0" collapsed="false">
      <c r="A59" s="25"/>
      <c r="B59" s="24" t="s">
        <v>116</v>
      </c>
      <c r="C59" s="25" t="n">
        <v>1</v>
      </c>
      <c r="D59" s="25" t="n">
        <v>0</v>
      </c>
      <c r="E59" s="25" t="n">
        <f aca="false">C59+D59</f>
        <v>1</v>
      </c>
      <c r="F59" s="2"/>
    </row>
    <row r="60" customFormat="false" ht="15" hidden="false" customHeight="false" outlineLevel="0" collapsed="false">
      <c r="A60" s="27"/>
      <c r="B60" s="28" t="s">
        <v>22</v>
      </c>
      <c r="C60" s="27" t="n">
        <f aca="false">SUM(C44:C59)</f>
        <v>54</v>
      </c>
      <c r="D60" s="27" t="n">
        <f aca="false">SUM(D44:D59)</f>
        <v>35</v>
      </c>
      <c r="E60" s="27" t="n">
        <f aca="false">SUM(E44:E59)</f>
        <v>89</v>
      </c>
      <c r="F60" s="2"/>
    </row>
    <row r="61" customFormat="false" ht="15" hidden="false" customHeight="false" outlineLevel="0" collapsed="false">
      <c r="A61" s="30"/>
      <c r="B61" s="30" t="s">
        <v>74</v>
      </c>
      <c r="C61" s="31" t="n">
        <f aca="false">C8+C13+C15+C19+C23+C28+C33+C43+C60</f>
        <v>223</v>
      </c>
      <c r="D61" s="31" t="n">
        <f aca="false">D8+D13+D15+D19+D23+D28+D33+D43+D60</f>
        <v>99</v>
      </c>
      <c r="E61" s="31" t="n">
        <f aca="false">E8+E13+E15+E19+E23+E28+E33+E43+E60</f>
        <v>322</v>
      </c>
      <c r="F61" s="2"/>
    </row>
    <row r="62" customFormat="false" ht="15" hidden="false" customHeight="false" outlineLevel="0" collapsed="false">
      <c r="A62" s="32"/>
      <c r="B62" s="32" t="s">
        <v>117</v>
      </c>
      <c r="C62" s="33" t="n">
        <f aca="false">C61/E61</f>
        <v>0.692546583850932</v>
      </c>
      <c r="D62" s="33" t="n">
        <f aca="false">D61/E61</f>
        <v>0.307453416149068</v>
      </c>
      <c r="E62" s="33" t="n">
        <f aca="false">SUM(C62:F62)</f>
        <v>1</v>
      </c>
      <c r="F62" s="2"/>
    </row>
    <row r="63" customFormat="false" ht="15" hidden="false" customHeight="false" outlineLevel="0" collapsed="false">
      <c r="A63" s="34" t="s">
        <v>118</v>
      </c>
    </row>
  </sheetData>
  <mergeCells count="1">
    <mergeCell ref="C2:D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T149"/>
  <sheetViews>
    <sheetView showFormulas="false" showGridLines="true" showRowColHeaders="true" showZeros="true" rightToLeft="false" tabSelected="true" showOutlineSymbols="true" defaultGridColor="true" view="normal" topLeftCell="A74" colorId="64" zoomScale="100" zoomScaleNormal="100" zoomScalePageLayoutView="100" workbookViewId="0">
      <selection pane="topLeft" activeCell="J84" activeCellId="0" sqref="J84"/>
    </sheetView>
  </sheetViews>
  <sheetFormatPr defaultRowHeight="15" outlineLevelRow="0" outlineLevelCol="0"/>
  <cols>
    <col collapsed="false" customWidth="true" hidden="false" outlineLevel="0" max="1" min="1" style="0" width="24.71"/>
    <col collapsed="false" customWidth="true" hidden="false" outlineLevel="0" max="4" min="2" style="0" width="9.14"/>
    <col collapsed="false" customWidth="true" hidden="false" outlineLevel="0" max="5" min="5" style="0" width="11.29"/>
    <col collapsed="false" customWidth="true" hidden="false" outlineLevel="0" max="7" min="6" style="0" width="9.14"/>
    <col collapsed="false" customWidth="true" hidden="false" outlineLevel="0" max="8" min="8" style="0" width="12.42"/>
    <col collapsed="false" customWidth="true" hidden="false" outlineLevel="0" max="1025" min="9" style="0" width="9.14"/>
  </cols>
  <sheetData>
    <row r="3" customFormat="false" ht="15" hidden="false" customHeight="false" outlineLevel="0" collapsed="false">
      <c r="A3" s="20" t="s">
        <v>335</v>
      </c>
      <c r="H3" s="186"/>
    </row>
    <row r="5" customFormat="false" ht="15" hidden="false" customHeight="false" outlineLevel="0" collapsed="false">
      <c r="A5" s="35" t="s">
        <v>336</v>
      </c>
      <c r="B5" s="35"/>
      <c r="C5" s="35"/>
      <c r="D5" s="35"/>
      <c r="E5" s="35"/>
    </row>
    <row r="6" customFormat="false" ht="15" hidden="false" customHeight="false" outlineLevel="0" collapsed="false">
      <c r="A6" s="35" t="s">
        <v>1</v>
      </c>
      <c r="B6" s="37" t="s">
        <v>337</v>
      </c>
      <c r="C6" s="37"/>
      <c r="D6" s="37"/>
      <c r="E6" s="35"/>
    </row>
    <row r="7" customFormat="false" ht="15" hidden="false" customHeight="false" outlineLevel="0" collapsed="false">
      <c r="A7" s="39" t="s">
        <v>338</v>
      </c>
      <c r="B7" s="187" t="s">
        <v>339</v>
      </c>
      <c r="C7" s="187" t="s">
        <v>162</v>
      </c>
      <c r="D7" s="187" t="s">
        <v>127</v>
      </c>
      <c r="E7" s="187" t="s">
        <v>80</v>
      </c>
      <c r="G7" s="0" t="s">
        <v>340</v>
      </c>
    </row>
    <row r="8" customFormat="false" ht="15" hidden="false" customHeight="false" outlineLevel="0" collapsed="false">
      <c r="A8" s="7" t="s">
        <v>81</v>
      </c>
      <c r="B8" s="7" t="n">
        <v>3</v>
      </c>
      <c r="C8" s="7" t="n">
        <v>0</v>
      </c>
      <c r="D8" s="7" t="n">
        <v>3</v>
      </c>
      <c r="E8" s="7" t="n">
        <v>6</v>
      </c>
    </row>
    <row r="9" customFormat="false" ht="15" hidden="false" customHeight="false" outlineLevel="0" collapsed="false">
      <c r="A9" s="7" t="s">
        <v>82</v>
      </c>
      <c r="B9" s="7" t="n">
        <v>3</v>
      </c>
      <c r="C9" s="7" t="n">
        <v>1</v>
      </c>
      <c r="D9" s="7" t="n">
        <v>2</v>
      </c>
      <c r="E9" s="7" t="n">
        <v>6</v>
      </c>
    </row>
    <row r="10" customFormat="false" ht="13.8" hidden="false" customHeight="false" outlineLevel="0" collapsed="false">
      <c r="A10" s="7" t="s">
        <v>83</v>
      </c>
      <c r="B10" s="7" t="n">
        <v>0</v>
      </c>
      <c r="C10" s="7" t="n">
        <v>0</v>
      </c>
      <c r="D10" s="7" t="n">
        <v>0</v>
      </c>
      <c r="E10" s="7" t="n">
        <v>0</v>
      </c>
      <c r="I10" s="0" t="s">
        <v>341</v>
      </c>
    </row>
    <row r="11" customFormat="false" ht="15" hidden="false" customHeight="false" outlineLevel="0" collapsed="false">
      <c r="A11" s="7" t="s">
        <v>84</v>
      </c>
      <c r="B11" s="7" t="n">
        <v>1</v>
      </c>
      <c r="C11" s="7" t="n">
        <v>0</v>
      </c>
      <c r="D11" s="7" t="n">
        <v>0</v>
      </c>
      <c r="E11" s="7" t="n">
        <v>1</v>
      </c>
    </row>
    <row r="12" customFormat="false" ht="13.8" hidden="false" customHeight="false" outlineLevel="0" collapsed="false">
      <c r="A12" s="7" t="s">
        <v>85</v>
      </c>
      <c r="B12" s="7" t="n">
        <v>4</v>
      </c>
      <c r="C12" s="7" t="n">
        <v>0</v>
      </c>
      <c r="D12" s="7" t="n">
        <v>2</v>
      </c>
      <c r="E12" s="7" t="n">
        <v>6</v>
      </c>
    </row>
    <row r="13" customFormat="false" ht="15" hidden="false" customHeight="false" outlineLevel="0" collapsed="false">
      <c r="A13" s="7" t="s">
        <v>86</v>
      </c>
      <c r="B13" s="7" t="n">
        <v>14</v>
      </c>
      <c r="C13" s="7" t="n">
        <v>1</v>
      </c>
      <c r="D13" s="7" t="n">
        <v>5</v>
      </c>
      <c r="E13" s="7" t="n">
        <v>20</v>
      </c>
      <c r="H13" s="0" t="n">
        <v>796</v>
      </c>
      <c r="I13" s="0" t="n">
        <v>818</v>
      </c>
    </row>
    <row r="14" customFormat="false" ht="15" hidden="false" customHeight="false" outlineLevel="0" collapsed="false">
      <c r="A14" s="5" t="s">
        <v>342</v>
      </c>
      <c r="B14" s="7" t="n">
        <v>16</v>
      </c>
      <c r="C14" s="7" t="n">
        <v>1</v>
      </c>
      <c r="D14" s="7" t="n">
        <v>2</v>
      </c>
      <c r="E14" s="7" t="n">
        <v>19</v>
      </c>
    </row>
    <row r="15" customFormat="false" ht="15" hidden="false" customHeight="false" outlineLevel="0" collapsed="false">
      <c r="A15" s="5" t="s">
        <v>87</v>
      </c>
      <c r="B15" s="7" t="n">
        <v>20</v>
      </c>
      <c r="C15" s="7" t="n">
        <v>27</v>
      </c>
      <c r="D15" s="7" t="n">
        <v>11</v>
      </c>
      <c r="E15" s="7" t="n">
        <v>58</v>
      </c>
    </row>
    <row r="16" customFormat="false" ht="15" hidden="false" customHeight="false" outlineLevel="0" collapsed="false">
      <c r="A16" s="5" t="s">
        <v>90</v>
      </c>
      <c r="B16" s="7" t="n">
        <v>72</v>
      </c>
      <c r="C16" s="7" t="n">
        <v>30</v>
      </c>
      <c r="D16" s="7" t="n">
        <v>15</v>
      </c>
      <c r="E16" s="7" t="n">
        <v>117</v>
      </c>
    </row>
    <row r="17" customFormat="false" ht="15" hidden="false" customHeight="false" outlineLevel="0" collapsed="false">
      <c r="A17" s="5" t="s">
        <v>100</v>
      </c>
      <c r="B17" s="7" t="n">
        <v>38</v>
      </c>
      <c r="C17" s="7" t="n">
        <v>34</v>
      </c>
      <c r="D17" s="7" t="n">
        <v>17</v>
      </c>
      <c r="E17" s="7" t="n">
        <v>89</v>
      </c>
    </row>
    <row r="18" customFormat="false" ht="15" hidden="false" customHeight="false" outlineLevel="0" collapsed="false">
      <c r="A18" s="188" t="s">
        <v>12</v>
      </c>
      <c r="B18" s="189" t="n">
        <v>171</v>
      </c>
      <c r="C18" s="189" t="n">
        <v>94</v>
      </c>
      <c r="D18" s="189" t="n">
        <v>57</v>
      </c>
      <c r="E18" s="189" t="n">
        <v>322</v>
      </c>
    </row>
    <row r="19" customFormat="false" ht="15" hidden="false" customHeight="false" outlineLevel="0" collapsed="false">
      <c r="A19" s="188" t="s">
        <v>117</v>
      </c>
      <c r="B19" s="190" t="n">
        <v>0.531055900621118</v>
      </c>
      <c r="C19" s="190" t="n">
        <v>0.291925465838509</v>
      </c>
      <c r="D19" s="190" t="n">
        <v>0.177018633540373</v>
      </c>
      <c r="E19" s="190" t="n">
        <v>1</v>
      </c>
    </row>
    <row r="20" customFormat="false" ht="15" hidden="false" customHeight="false" outlineLevel="0" collapsed="false">
      <c r="A20" s="34" t="s">
        <v>118</v>
      </c>
    </row>
    <row r="22" customFormat="false" ht="15" hidden="false" customHeight="false" outlineLevel="0" collapsed="false">
      <c r="A22" s="54" t="s">
        <v>343</v>
      </c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</row>
    <row r="23" customFormat="false" ht="15" hidden="false" customHeight="false" outlineLevel="0" collapsed="false">
      <c r="A23" s="54" t="s">
        <v>1</v>
      </c>
      <c r="B23" s="55" t="s">
        <v>344</v>
      </c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4"/>
      <c r="N23" s="54"/>
    </row>
    <row r="24" customFormat="false" ht="15" hidden="false" customHeight="false" outlineLevel="0" collapsed="false">
      <c r="A24" s="39" t="s">
        <v>338</v>
      </c>
      <c r="B24" s="191" t="s">
        <v>345</v>
      </c>
      <c r="C24" s="191" t="n">
        <v>2008</v>
      </c>
      <c r="D24" s="191" t="n">
        <v>2009</v>
      </c>
      <c r="E24" s="191" t="n">
        <v>2010</v>
      </c>
      <c r="F24" s="191" t="n">
        <v>2011</v>
      </c>
      <c r="G24" s="191" t="n">
        <v>2012</v>
      </c>
      <c r="H24" s="192" t="n">
        <v>2013</v>
      </c>
      <c r="I24" s="191" t="n">
        <v>2014</v>
      </c>
      <c r="J24" s="191" t="n">
        <v>2015</v>
      </c>
      <c r="K24" s="191" t="n">
        <v>2016</v>
      </c>
      <c r="L24" s="191" t="s">
        <v>346</v>
      </c>
      <c r="M24" s="193" t="s">
        <v>127</v>
      </c>
      <c r="N24" s="193" t="s">
        <v>80</v>
      </c>
    </row>
    <row r="25" customFormat="false" ht="15" hidden="false" customHeight="false" outlineLevel="0" collapsed="false">
      <c r="A25" s="7" t="s">
        <v>81</v>
      </c>
      <c r="B25" s="7" t="n">
        <v>0</v>
      </c>
      <c r="C25" s="7" t="n">
        <v>0</v>
      </c>
      <c r="D25" s="7" t="n">
        <v>0</v>
      </c>
      <c r="E25" s="7" t="n">
        <v>0</v>
      </c>
      <c r="F25" s="7" t="n">
        <v>0</v>
      </c>
      <c r="G25" s="7" t="n">
        <v>0</v>
      </c>
      <c r="H25" s="7" t="n">
        <v>0</v>
      </c>
      <c r="I25" s="7" t="n">
        <v>1</v>
      </c>
      <c r="J25" s="7" t="n">
        <v>0</v>
      </c>
      <c r="K25" s="7" t="n">
        <v>1</v>
      </c>
      <c r="L25" s="7" t="n">
        <v>0</v>
      </c>
      <c r="M25" s="7" t="n">
        <v>1</v>
      </c>
      <c r="N25" s="7" t="n">
        <f aca="false">SUM(B25:M25)</f>
        <v>3</v>
      </c>
      <c r="P25" s="0" t="s">
        <v>347</v>
      </c>
    </row>
    <row r="26" customFormat="false" ht="15" hidden="false" customHeight="false" outlineLevel="0" collapsed="false">
      <c r="A26" s="7" t="s">
        <v>82</v>
      </c>
      <c r="B26" s="7" t="n">
        <v>0</v>
      </c>
      <c r="C26" s="7" t="n">
        <v>0</v>
      </c>
      <c r="D26" s="7" t="n">
        <v>0</v>
      </c>
      <c r="E26" s="7" t="n">
        <v>1</v>
      </c>
      <c r="F26" s="7" t="n">
        <v>0</v>
      </c>
      <c r="G26" s="7" t="n">
        <v>0</v>
      </c>
      <c r="H26" s="7" t="n">
        <v>0</v>
      </c>
      <c r="I26" s="7" t="n">
        <v>0</v>
      </c>
      <c r="J26" s="7" t="n">
        <v>0</v>
      </c>
      <c r="K26" s="7" t="n">
        <v>2</v>
      </c>
      <c r="L26" s="7" t="n">
        <v>0</v>
      </c>
      <c r="M26" s="7" t="n">
        <v>0</v>
      </c>
      <c r="N26" s="7" t="n">
        <f aca="false">SUM(B26:M26)</f>
        <v>3</v>
      </c>
    </row>
    <row r="27" customFormat="false" ht="15" hidden="false" customHeight="false" outlineLevel="0" collapsed="false">
      <c r="A27" s="7" t="s">
        <v>83</v>
      </c>
      <c r="B27" s="7" t="n">
        <v>0</v>
      </c>
      <c r="C27" s="7" t="n">
        <v>0</v>
      </c>
      <c r="D27" s="7" t="n">
        <v>0</v>
      </c>
      <c r="E27" s="7" t="n">
        <v>0</v>
      </c>
      <c r="F27" s="7" t="n">
        <v>0</v>
      </c>
      <c r="G27" s="7" t="n">
        <v>0</v>
      </c>
      <c r="H27" s="7" t="n">
        <v>0</v>
      </c>
      <c r="I27" s="7" t="n">
        <v>0</v>
      </c>
      <c r="J27" s="7" t="n">
        <v>0</v>
      </c>
      <c r="K27" s="7" t="n">
        <v>0</v>
      </c>
      <c r="L27" s="7" t="n">
        <v>0</v>
      </c>
      <c r="M27" s="7" t="n">
        <v>0</v>
      </c>
      <c r="N27" s="7" t="n">
        <f aca="false">SUM(B27:M27)</f>
        <v>0</v>
      </c>
    </row>
    <row r="28" customFormat="false" ht="15" hidden="false" customHeight="false" outlineLevel="0" collapsed="false">
      <c r="A28" s="7" t="s">
        <v>84</v>
      </c>
      <c r="B28" s="7" t="n">
        <v>0</v>
      </c>
      <c r="C28" s="7" t="n">
        <v>0</v>
      </c>
      <c r="D28" s="7" t="n">
        <v>0</v>
      </c>
      <c r="E28" s="7" t="n">
        <v>0</v>
      </c>
      <c r="F28" s="7" t="n">
        <v>0</v>
      </c>
      <c r="G28" s="7" t="n">
        <v>0</v>
      </c>
      <c r="H28" s="7" t="n">
        <v>1</v>
      </c>
      <c r="I28" s="7" t="n">
        <v>0</v>
      </c>
      <c r="J28" s="7" t="n">
        <v>0</v>
      </c>
      <c r="K28" s="7" t="n">
        <v>0</v>
      </c>
      <c r="L28" s="7" t="n">
        <v>0</v>
      </c>
      <c r="M28" s="7" t="n">
        <v>0</v>
      </c>
      <c r="N28" s="7" t="n">
        <f aca="false">SUM(B28:M28)</f>
        <v>1</v>
      </c>
    </row>
    <row r="29" customFormat="false" ht="15" hidden="false" customHeight="false" outlineLevel="0" collapsed="false">
      <c r="A29" s="7" t="s">
        <v>85</v>
      </c>
      <c r="B29" s="7" t="n">
        <v>0</v>
      </c>
      <c r="C29" s="7" t="n">
        <v>0</v>
      </c>
      <c r="D29" s="7" t="n">
        <v>0</v>
      </c>
      <c r="E29" s="7" t="n">
        <v>0</v>
      </c>
      <c r="F29" s="7" t="n">
        <v>0</v>
      </c>
      <c r="G29" s="7" t="n">
        <v>0</v>
      </c>
      <c r="H29" s="7" t="n">
        <v>0</v>
      </c>
      <c r="I29" s="7" t="n">
        <v>1</v>
      </c>
      <c r="J29" s="7" t="n">
        <v>1</v>
      </c>
      <c r="K29" s="7" t="n">
        <v>2</v>
      </c>
      <c r="L29" s="7" t="n">
        <v>0</v>
      </c>
      <c r="M29" s="7" t="n">
        <v>0</v>
      </c>
      <c r="N29" s="7" t="n">
        <f aca="false">SUM(B29:M29)</f>
        <v>4</v>
      </c>
    </row>
    <row r="30" customFormat="false" ht="15" hidden="false" customHeight="false" outlineLevel="0" collapsed="false">
      <c r="A30" s="7" t="s">
        <v>86</v>
      </c>
      <c r="B30" s="7" t="n">
        <v>0</v>
      </c>
      <c r="C30" s="7" t="n">
        <v>0</v>
      </c>
      <c r="D30" s="7" t="n">
        <v>3</v>
      </c>
      <c r="E30" s="7" t="n">
        <v>0</v>
      </c>
      <c r="F30" s="7" t="n">
        <v>0</v>
      </c>
      <c r="G30" s="7" t="n">
        <v>9</v>
      </c>
      <c r="H30" s="7" t="n">
        <v>0</v>
      </c>
      <c r="I30" s="7" t="n">
        <v>2</v>
      </c>
      <c r="J30" s="7" t="n">
        <v>0</v>
      </c>
      <c r="K30" s="7" t="n">
        <v>0</v>
      </c>
      <c r="L30" s="7" t="n">
        <v>0</v>
      </c>
      <c r="M30" s="7" t="n">
        <v>0</v>
      </c>
      <c r="N30" s="7" t="n">
        <f aca="false">SUM(B30:M30)</f>
        <v>14</v>
      </c>
    </row>
    <row r="31" customFormat="false" ht="15" hidden="false" customHeight="false" outlineLevel="0" collapsed="false">
      <c r="A31" s="5" t="s">
        <v>342</v>
      </c>
      <c r="B31" s="7" t="n">
        <v>0</v>
      </c>
      <c r="C31" s="7" t="n">
        <v>0</v>
      </c>
      <c r="D31" s="7" t="n">
        <v>5</v>
      </c>
      <c r="E31" s="7" t="n">
        <v>0</v>
      </c>
      <c r="F31" s="7" t="n">
        <v>0</v>
      </c>
      <c r="G31" s="7" t="n">
        <v>5</v>
      </c>
      <c r="H31" s="7" t="n">
        <v>0</v>
      </c>
      <c r="I31" s="7" t="n">
        <v>1</v>
      </c>
      <c r="J31" s="7" t="n">
        <v>0</v>
      </c>
      <c r="K31" s="7" t="n">
        <v>0</v>
      </c>
      <c r="L31" s="7" t="n">
        <v>0</v>
      </c>
      <c r="M31" s="7" t="n">
        <v>5</v>
      </c>
      <c r="N31" s="7" t="n">
        <f aca="false">SUM(B31:M31)</f>
        <v>16</v>
      </c>
    </row>
    <row r="32" customFormat="false" ht="15" hidden="false" customHeight="false" outlineLevel="0" collapsed="false">
      <c r="A32" s="5" t="s">
        <v>87</v>
      </c>
      <c r="B32" s="7" t="n">
        <v>0</v>
      </c>
      <c r="C32" s="7" t="n">
        <v>0</v>
      </c>
      <c r="D32" s="7" t="n">
        <v>0</v>
      </c>
      <c r="E32" s="7" t="n">
        <v>0</v>
      </c>
      <c r="F32" s="7" t="n">
        <v>0</v>
      </c>
      <c r="G32" s="7" t="n">
        <v>3</v>
      </c>
      <c r="H32" s="7" t="n">
        <v>1</v>
      </c>
      <c r="I32" s="7" t="n">
        <v>1</v>
      </c>
      <c r="J32" s="7" t="n">
        <v>4</v>
      </c>
      <c r="K32" s="7" t="n">
        <v>9</v>
      </c>
      <c r="L32" s="7" t="n">
        <v>0</v>
      </c>
      <c r="M32" s="7" t="n">
        <v>2</v>
      </c>
      <c r="N32" s="7" t="n">
        <f aca="false">SUM(B32:M32)</f>
        <v>20</v>
      </c>
    </row>
    <row r="33" customFormat="false" ht="15" hidden="false" customHeight="false" outlineLevel="0" collapsed="false">
      <c r="A33" s="5" t="s">
        <v>90</v>
      </c>
      <c r="B33" s="7" t="n">
        <v>5</v>
      </c>
      <c r="C33" s="7" t="n">
        <v>0</v>
      </c>
      <c r="D33" s="7" t="n">
        <v>0</v>
      </c>
      <c r="E33" s="7" t="n">
        <v>0</v>
      </c>
      <c r="F33" s="7" t="n">
        <v>0</v>
      </c>
      <c r="G33" s="7" t="n">
        <v>1</v>
      </c>
      <c r="H33" s="7" t="n">
        <v>10</v>
      </c>
      <c r="I33" s="7" t="n">
        <v>22</v>
      </c>
      <c r="J33" s="7" t="n">
        <v>6</v>
      </c>
      <c r="K33" s="7" t="n">
        <v>22</v>
      </c>
      <c r="L33" s="7" t="n">
        <v>2</v>
      </c>
      <c r="M33" s="7" t="n">
        <v>4</v>
      </c>
      <c r="N33" s="7" t="n">
        <f aca="false">SUM(B33:M33)</f>
        <v>72</v>
      </c>
    </row>
    <row r="34" customFormat="false" ht="15" hidden="false" customHeight="false" outlineLevel="0" collapsed="false">
      <c r="A34" s="5" t="s">
        <v>100</v>
      </c>
      <c r="B34" s="7" t="n">
        <v>5</v>
      </c>
      <c r="C34" s="7" t="n">
        <v>1</v>
      </c>
      <c r="D34" s="7" t="n">
        <v>0</v>
      </c>
      <c r="E34" s="7" t="n">
        <v>0</v>
      </c>
      <c r="F34" s="7" t="n">
        <v>1</v>
      </c>
      <c r="G34" s="7" t="n">
        <v>1</v>
      </c>
      <c r="H34" s="7" t="n">
        <v>5</v>
      </c>
      <c r="I34" s="7" t="n">
        <v>13</v>
      </c>
      <c r="J34" s="7" t="n">
        <v>9</v>
      </c>
      <c r="K34" s="7" t="n">
        <v>3</v>
      </c>
      <c r="L34" s="7" t="n">
        <v>0</v>
      </c>
      <c r="M34" s="7" t="n">
        <v>0</v>
      </c>
      <c r="N34" s="7" t="n">
        <f aca="false">SUM(B34:M34)</f>
        <v>38</v>
      </c>
    </row>
    <row r="35" customFormat="false" ht="15" hidden="false" customHeight="false" outlineLevel="0" collapsed="false">
      <c r="A35" s="188" t="s">
        <v>12</v>
      </c>
      <c r="B35" s="194" t="n">
        <f aca="false">SUM(B25:B34)</f>
        <v>10</v>
      </c>
      <c r="C35" s="194" t="n">
        <f aca="false">SUM(C25:C34)</f>
        <v>1</v>
      </c>
      <c r="D35" s="194" t="n">
        <f aca="false">SUM(D25:D34)</f>
        <v>8</v>
      </c>
      <c r="E35" s="194" t="n">
        <f aca="false">SUM(E25:E34)</f>
        <v>1</v>
      </c>
      <c r="F35" s="194" t="n">
        <f aca="false">SUM(F25:F34)</f>
        <v>1</v>
      </c>
      <c r="G35" s="194" t="n">
        <f aca="false">SUM(G25:G34)</f>
        <v>19</v>
      </c>
      <c r="H35" s="194" t="n">
        <f aca="false">SUM(H25:H34)</f>
        <v>17</v>
      </c>
      <c r="I35" s="194" t="n">
        <f aca="false">SUM(I25:I34)</f>
        <v>41</v>
      </c>
      <c r="J35" s="194" t="n">
        <f aca="false">SUM(J25:J34)</f>
        <v>20</v>
      </c>
      <c r="K35" s="194" t="n">
        <f aca="false">SUM(K25:K34)</f>
        <v>39</v>
      </c>
      <c r="L35" s="194" t="n">
        <f aca="false">SUM(L25:L34)</f>
        <v>2</v>
      </c>
      <c r="M35" s="194" t="n">
        <f aca="false">SUM(M25:M34)</f>
        <v>12</v>
      </c>
      <c r="N35" s="194" t="n">
        <f aca="false">SUM(N25:N34)</f>
        <v>171</v>
      </c>
    </row>
    <row r="36" customFormat="false" ht="15" hidden="false" customHeight="false" outlineLevel="0" collapsed="false">
      <c r="A36" s="188" t="s">
        <v>117</v>
      </c>
      <c r="B36" s="190" t="n">
        <f aca="false">B35/171</f>
        <v>0.0584795321637427</v>
      </c>
      <c r="C36" s="190" t="n">
        <f aca="false">C35/171</f>
        <v>0.00584795321637427</v>
      </c>
      <c r="D36" s="190" t="n">
        <f aca="false">D35/171</f>
        <v>0.0467836257309942</v>
      </c>
      <c r="E36" s="190" t="n">
        <f aca="false">E35/171</f>
        <v>0.00584795321637427</v>
      </c>
      <c r="F36" s="190" t="n">
        <f aca="false">F35/171</f>
        <v>0.00584795321637427</v>
      </c>
      <c r="G36" s="190" t="n">
        <f aca="false">G35/171</f>
        <v>0.111111111111111</v>
      </c>
      <c r="H36" s="190" t="n">
        <f aca="false">H35/171</f>
        <v>0.0994152046783626</v>
      </c>
      <c r="I36" s="190" t="n">
        <f aca="false">I35/171</f>
        <v>0.239766081871345</v>
      </c>
      <c r="J36" s="190" t="n">
        <f aca="false">J35/171</f>
        <v>0.116959064327485</v>
      </c>
      <c r="K36" s="190" t="n">
        <f aca="false">K35/171</f>
        <v>0.228070175438596</v>
      </c>
      <c r="L36" s="190" t="n">
        <f aca="false">L35/171</f>
        <v>0.0116959064327485</v>
      </c>
      <c r="M36" s="190" t="n">
        <f aca="false">M35/171</f>
        <v>0.0701754385964912</v>
      </c>
      <c r="N36" s="190" t="n">
        <f aca="false">SUM(B36:M36)</f>
        <v>1</v>
      </c>
    </row>
    <row r="37" customFormat="false" ht="15" hidden="false" customHeight="false" outlineLevel="0" collapsed="false">
      <c r="A37" s="195"/>
      <c r="B37" s="196"/>
      <c r="C37" s="196"/>
      <c r="D37" s="196"/>
      <c r="E37" s="196"/>
      <c r="F37" s="196"/>
      <c r="G37" s="196"/>
      <c r="H37" s="196"/>
      <c r="I37" s="196"/>
      <c r="J37" s="196"/>
      <c r="K37" s="196"/>
      <c r="L37" s="196"/>
      <c r="M37" s="196"/>
    </row>
    <row r="39" customFormat="false" ht="15" hidden="false" customHeight="false" outlineLevel="0" collapsed="false">
      <c r="A39" s="35" t="s">
        <v>348</v>
      </c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</row>
    <row r="40" customFormat="false" ht="15" hidden="false" customHeight="false" outlineLevel="0" collapsed="false">
      <c r="A40" s="35" t="s">
        <v>1</v>
      </c>
      <c r="B40" s="37" t="s">
        <v>349</v>
      </c>
      <c r="C40" s="37"/>
      <c r="D40" s="37"/>
      <c r="E40" s="37"/>
      <c r="F40" s="37"/>
      <c r="G40" s="37"/>
      <c r="H40" s="37"/>
      <c r="I40" s="37"/>
      <c r="J40" s="37"/>
      <c r="K40" s="36"/>
      <c r="L40" s="35"/>
    </row>
    <row r="41" customFormat="false" ht="15" hidden="false" customHeight="false" outlineLevel="0" collapsed="false">
      <c r="A41" s="197"/>
      <c r="B41" s="193" t="s">
        <v>350</v>
      </c>
      <c r="C41" s="193"/>
      <c r="D41" s="193"/>
      <c r="E41" s="193"/>
      <c r="F41" s="193"/>
      <c r="G41" s="193"/>
      <c r="H41" s="193"/>
      <c r="I41" s="193"/>
      <c r="J41" s="193"/>
      <c r="K41" s="193" t="s">
        <v>127</v>
      </c>
      <c r="L41" s="193" t="s">
        <v>80</v>
      </c>
      <c r="M41" s="198"/>
      <c r="N41" s="199"/>
      <c r="O41" s="199"/>
      <c r="P41" s="200"/>
      <c r="Q41" s="200"/>
      <c r="R41" s="200"/>
      <c r="S41" s="199"/>
      <c r="T41" s="199"/>
    </row>
    <row r="42" customFormat="false" ht="15" hidden="false" customHeight="false" outlineLevel="0" collapsed="false">
      <c r="A42" s="201" t="s">
        <v>351</v>
      </c>
      <c r="B42" s="202" t="s">
        <v>352</v>
      </c>
      <c r="C42" s="202" t="s">
        <v>353</v>
      </c>
      <c r="D42" s="202" t="s">
        <v>354</v>
      </c>
      <c r="E42" s="202" t="s">
        <v>355</v>
      </c>
      <c r="F42" s="202" t="s">
        <v>356</v>
      </c>
      <c r="G42" s="202" t="s">
        <v>357</v>
      </c>
      <c r="H42" s="202" t="s">
        <v>358</v>
      </c>
      <c r="I42" s="202"/>
      <c r="J42" s="202"/>
      <c r="K42" s="193"/>
      <c r="L42" s="193"/>
      <c r="M42" s="203"/>
      <c r="N42" s="199"/>
      <c r="O42" s="199"/>
      <c r="P42" s="200"/>
      <c r="Q42" s="200"/>
      <c r="R42" s="200"/>
      <c r="S42" s="199"/>
      <c r="T42" s="199"/>
    </row>
    <row r="43" customFormat="false" ht="15" hidden="false" customHeight="true" outlineLevel="0" collapsed="false">
      <c r="A43" s="39" t="s">
        <v>359</v>
      </c>
      <c r="B43" s="193" t="s">
        <v>360</v>
      </c>
      <c r="C43" s="193" t="s">
        <v>361</v>
      </c>
      <c r="D43" s="193" t="s">
        <v>362</v>
      </c>
      <c r="E43" s="193" t="s">
        <v>363</v>
      </c>
      <c r="F43" s="193" t="s">
        <v>364</v>
      </c>
      <c r="G43" s="193" t="s">
        <v>365</v>
      </c>
      <c r="H43" s="193" t="s">
        <v>366</v>
      </c>
      <c r="I43" s="193" t="s">
        <v>367</v>
      </c>
      <c r="J43" s="193" t="s">
        <v>368</v>
      </c>
      <c r="K43" s="193"/>
      <c r="L43" s="193"/>
      <c r="M43" s="204"/>
      <c r="N43" s="199" t="s">
        <v>347</v>
      </c>
      <c r="O43" s="199"/>
      <c r="P43" s="200"/>
      <c r="Q43" s="200"/>
      <c r="R43" s="200"/>
      <c r="S43" s="199"/>
      <c r="T43" s="199"/>
    </row>
    <row r="44" customFormat="false" ht="15" hidden="false" customHeight="false" outlineLevel="0" collapsed="false">
      <c r="A44" s="39" t="s">
        <v>338</v>
      </c>
      <c r="B44" s="193"/>
      <c r="C44" s="193"/>
      <c r="D44" s="193"/>
      <c r="E44" s="193"/>
      <c r="F44" s="193"/>
      <c r="G44" s="193"/>
      <c r="H44" s="193"/>
      <c r="I44" s="193"/>
      <c r="J44" s="193"/>
      <c r="K44" s="193"/>
      <c r="L44" s="193"/>
      <c r="M44" s="204"/>
      <c r="N44" s="199"/>
      <c r="O44" s="199"/>
      <c r="P44" s="200"/>
      <c r="Q44" s="200"/>
      <c r="R44" s="200"/>
      <c r="S44" s="199"/>
      <c r="T44" s="199"/>
    </row>
    <row r="45" customFormat="false" ht="15" hidden="false" customHeight="false" outlineLevel="0" collapsed="false">
      <c r="A45" s="7" t="s">
        <v>81</v>
      </c>
      <c r="B45" s="7" t="n">
        <v>0</v>
      </c>
      <c r="C45" s="7" t="n">
        <v>0</v>
      </c>
      <c r="D45" s="7" t="n">
        <v>0</v>
      </c>
      <c r="E45" s="7" t="n">
        <v>0</v>
      </c>
      <c r="F45" s="7" t="n">
        <v>0</v>
      </c>
      <c r="G45" s="7" t="n">
        <v>0</v>
      </c>
      <c r="H45" s="7" t="n">
        <v>0</v>
      </c>
      <c r="I45" s="7" t="n">
        <v>0</v>
      </c>
      <c r="J45" s="7" t="n">
        <v>0</v>
      </c>
      <c r="K45" s="7" t="n">
        <v>3</v>
      </c>
      <c r="L45" s="7" t="n">
        <f aca="false">SUM(B45:K45)</f>
        <v>3</v>
      </c>
      <c r="M45" s="199"/>
      <c r="N45" s="199"/>
      <c r="O45" s="200"/>
      <c r="P45" s="200"/>
      <c r="Q45" s="200"/>
      <c r="R45" s="200"/>
      <c r="S45" s="200"/>
      <c r="T45" s="199"/>
    </row>
    <row r="46" customFormat="false" ht="15" hidden="false" customHeight="false" outlineLevel="0" collapsed="false">
      <c r="A46" s="7" t="s">
        <v>82</v>
      </c>
      <c r="B46" s="7" t="n">
        <v>1</v>
      </c>
      <c r="C46" s="7" t="n">
        <v>0</v>
      </c>
      <c r="D46" s="7" t="n">
        <v>0</v>
      </c>
      <c r="E46" s="7" t="n">
        <v>0</v>
      </c>
      <c r="F46" s="7" t="n">
        <v>0</v>
      </c>
      <c r="G46" s="7" t="n">
        <v>0</v>
      </c>
      <c r="H46" s="7" t="n">
        <v>0</v>
      </c>
      <c r="I46" s="7" t="n">
        <v>0</v>
      </c>
      <c r="J46" s="7" t="n">
        <v>0</v>
      </c>
      <c r="K46" s="7" t="n">
        <v>2</v>
      </c>
      <c r="L46" s="7" t="n">
        <f aca="false">SUM(B46:K46)</f>
        <v>3</v>
      </c>
      <c r="M46" s="199"/>
      <c r="N46" s="199"/>
      <c r="O46" s="200"/>
      <c r="P46" s="200"/>
      <c r="Q46" s="200"/>
      <c r="R46" s="200"/>
      <c r="S46" s="200"/>
      <c r="T46" s="199"/>
    </row>
    <row r="47" customFormat="false" ht="15" hidden="false" customHeight="false" outlineLevel="0" collapsed="false">
      <c r="A47" s="7" t="s">
        <v>83</v>
      </c>
      <c r="B47" s="7" t="n">
        <v>0</v>
      </c>
      <c r="C47" s="7" t="n">
        <v>0</v>
      </c>
      <c r="D47" s="7" t="n">
        <v>0</v>
      </c>
      <c r="E47" s="7" t="n">
        <v>0</v>
      </c>
      <c r="F47" s="7" t="n">
        <v>0</v>
      </c>
      <c r="G47" s="7" t="n">
        <v>0</v>
      </c>
      <c r="H47" s="7" t="n">
        <v>0</v>
      </c>
      <c r="I47" s="7" t="n">
        <v>0</v>
      </c>
      <c r="J47" s="7" t="n">
        <v>0</v>
      </c>
      <c r="K47" s="7" t="n">
        <v>0</v>
      </c>
      <c r="L47" s="7" t="n">
        <f aca="false">SUM(B47:K47)</f>
        <v>0</v>
      </c>
      <c r="M47" s="199"/>
      <c r="N47" s="199"/>
      <c r="O47" s="200"/>
      <c r="P47" s="200"/>
      <c r="Q47" s="200"/>
      <c r="R47" s="200"/>
      <c r="S47" s="200"/>
      <c r="T47" s="199"/>
    </row>
    <row r="48" customFormat="false" ht="15" hidden="false" customHeight="false" outlineLevel="0" collapsed="false">
      <c r="A48" s="7" t="s">
        <v>84</v>
      </c>
      <c r="B48" s="7" t="n">
        <v>0</v>
      </c>
      <c r="C48" s="7" t="n">
        <v>0</v>
      </c>
      <c r="D48" s="7" t="n">
        <v>0</v>
      </c>
      <c r="E48" s="7" t="n">
        <v>0</v>
      </c>
      <c r="F48" s="7" t="n">
        <v>0</v>
      </c>
      <c r="G48" s="7" t="n">
        <v>0</v>
      </c>
      <c r="H48" s="7" t="n">
        <v>0</v>
      </c>
      <c r="I48" s="7" t="n">
        <v>0</v>
      </c>
      <c r="J48" s="7" t="n">
        <v>0</v>
      </c>
      <c r="K48" s="7" t="n">
        <v>1</v>
      </c>
      <c r="L48" s="7" t="n">
        <f aca="false">SUM(B48:K48)</f>
        <v>1</v>
      </c>
      <c r="M48" s="199"/>
      <c r="N48" s="199"/>
      <c r="O48" s="200"/>
      <c r="P48" s="200"/>
      <c r="Q48" s="200"/>
      <c r="R48" s="200"/>
      <c r="S48" s="200"/>
      <c r="T48" s="199"/>
    </row>
    <row r="49" customFormat="false" ht="15" hidden="false" customHeight="false" outlineLevel="0" collapsed="false">
      <c r="A49" s="7" t="s">
        <v>85</v>
      </c>
      <c r="B49" s="7" t="n">
        <v>0</v>
      </c>
      <c r="C49" s="7" t="n">
        <v>0</v>
      </c>
      <c r="D49" s="7" t="n">
        <v>0</v>
      </c>
      <c r="E49" s="7" t="n">
        <v>0</v>
      </c>
      <c r="F49" s="7" t="n">
        <v>0</v>
      </c>
      <c r="G49" s="7" t="n">
        <v>0</v>
      </c>
      <c r="H49" s="7" t="n">
        <v>0</v>
      </c>
      <c r="I49" s="7" t="n">
        <v>0</v>
      </c>
      <c r="J49" s="7" t="n">
        <v>0</v>
      </c>
      <c r="K49" s="7" t="n">
        <v>4</v>
      </c>
      <c r="L49" s="7" t="n">
        <f aca="false">SUM(B49:K49)</f>
        <v>4</v>
      </c>
      <c r="M49" s="199"/>
      <c r="N49" s="199"/>
      <c r="O49" s="200"/>
      <c r="P49" s="200"/>
      <c r="Q49" s="200"/>
      <c r="R49" s="200"/>
      <c r="S49" s="200"/>
      <c r="T49" s="199"/>
    </row>
    <row r="50" customFormat="false" ht="15" hidden="false" customHeight="false" outlineLevel="0" collapsed="false">
      <c r="A50" s="7" t="s">
        <v>86</v>
      </c>
      <c r="B50" s="7" t="n">
        <v>8</v>
      </c>
      <c r="C50" s="7" t="n">
        <v>3</v>
      </c>
      <c r="D50" s="7" t="n">
        <v>0</v>
      </c>
      <c r="E50" s="7" t="n">
        <v>0</v>
      </c>
      <c r="F50" s="7" t="n">
        <v>0</v>
      </c>
      <c r="G50" s="7" t="n">
        <v>0</v>
      </c>
      <c r="H50" s="7" t="n">
        <v>0</v>
      </c>
      <c r="I50" s="7" t="n">
        <v>0</v>
      </c>
      <c r="J50" s="7" t="n">
        <v>0</v>
      </c>
      <c r="K50" s="7" t="n">
        <v>3</v>
      </c>
      <c r="L50" s="7" t="n">
        <f aca="false">SUM(B50:K50)</f>
        <v>14</v>
      </c>
      <c r="M50" s="199"/>
      <c r="N50" s="199"/>
      <c r="O50" s="200"/>
      <c r="P50" s="200"/>
      <c r="Q50" s="200"/>
      <c r="R50" s="200"/>
      <c r="S50" s="200"/>
      <c r="T50" s="199"/>
    </row>
    <row r="51" customFormat="false" ht="15" hidden="false" customHeight="false" outlineLevel="0" collapsed="false">
      <c r="A51" s="5" t="s">
        <v>342</v>
      </c>
      <c r="B51" s="7" t="n">
        <v>12</v>
      </c>
      <c r="C51" s="7" t="n">
        <v>0</v>
      </c>
      <c r="D51" s="7" t="n">
        <v>0</v>
      </c>
      <c r="E51" s="7" t="n">
        <v>0</v>
      </c>
      <c r="F51" s="7" t="n">
        <v>0</v>
      </c>
      <c r="G51" s="7" t="n">
        <v>0</v>
      </c>
      <c r="H51" s="7" t="n">
        <v>0</v>
      </c>
      <c r="I51" s="7" t="n">
        <v>0</v>
      </c>
      <c r="J51" s="7" t="n">
        <v>0</v>
      </c>
      <c r="K51" s="7" t="n">
        <v>4</v>
      </c>
      <c r="L51" s="7" t="n">
        <f aca="false">SUM(B51:K51)</f>
        <v>16</v>
      </c>
      <c r="M51" s="199"/>
      <c r="N51" s="199"/>
      <c r="O51" s="200"/>
      <c r="P51" s="200"/>
      <c r="Q51" s="200"/>
      <c r="R51" s="200"/>
      <c r="S51" s="200"/>
      <c r="T51" s="199"/>
    </row>
    <row r="52" customFormat="false" ht="15" hidden="false" customHeight="false" outlineLevel="0" collapsed="false">
      <c r="A52" s="5" t="s">
        <v>87</v>
      </c>
      <c r="B52" s="7" t="n">
        <v>1</v>
      </c>
      <c r="C52" s="7" t="n">
        <v>2</v>
      </c>
      <c r="D52" s="7" t="n">
        <v>1</v>
      </c>
      <c r="E52" s="7" t="n">
        <v>0</v>
      </c>
      <c r="F52" s="7" t="n">
        <v>1</v>
      </c>
      <c r="G52" s="7" t="n">
        <v>0</v>
      </c>
      <c r="H52" s="7" t="n">
        <v>0</v>
      </c>
      <c r="I52" s="7" t="n">
        <v>0</v>
      </c>
      <c r="J52" s="7" t="n">
        <v>0</v>
      </c>
      <c r="K52" s="7" t="n">
        <v>15</v>
      </c>
      <c r="L52" s="7" t="n">
        <f aca="false">SUM(B52:K52)</f>
        <v>20</v>
      </c>
      <c r="M52" s="199"/>
      <c r="N52" s="199"/>
      <c r="O52" s="200"/>
      <c r="P52" s="200"/>
      <c r="Q52" s="200"/>
      <c r="R52" s="200"/>
      <c r="S52" s="200"/>
      <c r="T52" s="199"/>
    </row>
    <row r="53" customFormat="false" ht="15" hidden="false" customHeight="false" outlineLevel="0" collapsed="false">
      <c r="A53" s="5" t="s">
        <v>90</v>
      </c>
      <c r="B53" s="7" t="n">
        <v>6</v>
      </c>
      <c r="C53" s="7" t="n">
        <v>16</v>
      </c>
      <c r="D53" s="7" t="n">
        <v>0</v>
      </c>
      <c r="E53" s="7" t="n">
        <v>3</v>
      </c>
      <c r="F53" s="7" t="n">
        <v>0</v>
      </c>
      <c r="G53" s="7" t="n">
        <v>5</v>
      </c>
      <c r="H53" s="7" t="n">
        <v>2</v>
      </c>
      <c r="I53" s="7" t="n">
        <v>1</v>
      </c>
      <c r="J53" s="7" t="n">
        <v>0</v>
      </c>
      <c r="K53" s="7" t="n">
        <v>39</v>
      </c>
      <c r="L53" s="7" t="n">
        <f aca="false">SUM(B53:K53)</f>
        <v>72</v>
      </c>
      <c r="M53" s="199"/>
      <c r="N53" s="199"/>
      <c r="O53" s="200"/>
      <c r="P53" s="200"/>
      <c r="Q53" s="200"/>
      <c r="R53" s="200"/>
      <c r="S53" s="200"/>
      <c r="T53" s="199"/>
    </row>
    <row r="54" customFormat="false" ht="15" hidden="false" customHeight="false" outlineLevel="0" collapsed="false">
      <c r="A54" s="5" t="s">
        <v>100</v>
      </c>
      <c r="B54" s="7" t="n">
        <v>9</v>
      </c>
      <c r="C54" s="7" t="n">
        <v>6</v>
      </c>
      <c r="D54" s="7" t="n">
        <v>0</v>
      </c>
      <c r="E54" s="7" t="n">
        <v>0</v>
      </c>
      <c r="F54" s="7" t="n">
        <v>2</v>
      </c>
      <c r="G54" s="7" t="n">
        <v>0</v>
      </c>
      <c r="H54" s="7" t="n">
        <v>0</v>
      </c>
      <c r="I54" s="7" t="n">
        <v>0</v>
      </c>
      <c r="J54" s="7" t="n">
        <v>1</v>
      </c>
      <c r="K54" s="7" t="n">
        <v>20</v>
      </c>
      <c r="L54" s="7" t="n">
        <f aca="false">SUM(B54:K54)</f>
        <v>38</v>
      </c>
      <c r="M54" s="199"/>
      <c r="N54" s="199"/>
      <c r="O54" s="200"/>
      <c r="P54" s="200"/>
      <c r="Q54" s="200"/>
      <c r="R54" s="200"/>
      <c r="S54" s="200"/>
      <c r="T54" s="199"/>
    </row>
    <row r="55" customFormat="false" ht="15" hidden="false" customHeight="false" outlineLevel="0" collapsed="false">
      <c r="A55" s="188" t="s">
        <v>12</v>
      </c>
      <c r="B55" s="194" t="n">
        <f aca="false">SUM(B45:B54)</f>
        <v>37</v>
      </c>
      <c r="C55" s="194" t="n">
        <f aca="false">SUM(C45:C54)</f>
        <v>27</v>
      </c>
      <c r="D55" s="194" t="n">
        <f aca="false">SUM(D45:D54)</f>
        <v>1</v>
      </c>
      <c r="E55" s="194" t="n">
        <f aca="false">SUM(E45:E54)</f>
        <v>3</v>
      </c>
      <c r="F55" s="194" t="n">
        <f aca="false">SUM(F45:F54)</f>
        <v>3</v>
      </c>
      <c r="G55" s="194" t="n">
        <f aca="false">SUM(G45:G54)</f>
        <v>5</v>
      </c>
      <c r="H55" s="194" t="n">
        <f aca="false">SUM(H45:H54)</f>
        <v>2</v>
      </c>
      <c r="I55" s="194" t="n">
        <f aca="false">SUM(I45:I54)</f>
        <v>1</v>
      </c>
      <c r="J55" s="194" t="n">
        <f aca="false">SUM(J45:J54)</f>
        <v>1</v>
      </c>
      <c r="K55" s="194" t="n">
        <f aca="false">SUM(K45:K54)</f>
        <v>91</v>
      </c>
      <c r="L55" s="194" t="n">
        <f aca="false">SUM(L45:L54)</f>
        <v>171</v>
      </c>
      <c r="M55" s="205"/>
      <c r="N55" s="205"/>
      <c r="O55" s="205"/>
      <c r="P55" s="200"/>
      <c r="Q55" s="200"/>
      <c r="R55" s="200"/>
      <c r="S55" s="199"/>
      <c r="T55" s="199"/>
    </row>
    <row r="56" customFormat="false" ht="15" hidden="false" customHeight="false" outlineLevel="0" collapsed="false">
      <c r="A56" s="188" t="s">
        <v>117</v>
      </c>
      <c r="B56" s="190" t="n">
        <f aca="false">B55/171</f>
        <v>0.216374269005848</v>
      </c>
      <c r="C56" s="190" t="n">
        <f aca="false">C55/171</f>
        <v>0.157894736842105</v>
      </c>
      <c r="D56" s="190" t="n">
        <f aca="false">D55/171</f>
        <v>0.00584795321637427</v>
      </c>
      <c r="E56" s="190" t="n">
        <f aca="false">E55/171</f>
        <v>0.0175438596491228</v>
      </c>
      <c r="F56" s="190" t="n">
        <f aca="false">F55/171</f>
        <v>0.0175438596491228</v>
      </c>
      <c r="G56" s="190" t="n">
        <f aca="false">G55/171</f>
        <v>0.0292397660818713</v>
      </c>
      <c r="H56" s="190" t="n">
        <f aca="false">H55/171</f>
        <v>0.0116959064327485</v>
      </c>
      <c r="I56" s="190" t="n">
        <f aca="false">I55/171</f>
        <v>0.00584795321637427</v>
      </c>
      <c r="J56" s="190" t="n">
        <f aca="false">J55/171</f>
        <v>0.00584795321637427</v>
      </c>
      <c r="K56" s="190" t="n">
        <f aca="false">K55/171</f>
        <v>0.532163742690059</v>
      </c>
      <c r="L56" s="190" t="n">
        <f aca="false">L55/171</f>
        <v>1</v>
      </c>
      <c r="M56" s="206"/>
      <c r="N56" s="206"/>
      <c r="O56" s="206"/>
      <c r="P56" s="200"/>
      <c r="Q56" s="200"/>
      <c r="R56" s="200"/>
      <c r="S56" s="199"/>
      <c r="T56" s="199"/>
    </row>
    <row r="57" customFormat="false" ht="15" hidden="false" customHeight="false" outlineLevel="0" collapsed="false">
      <c r="A57" s="34" t="s">
        <v>118</v>
      </c>
      <c r="B57" s="206"/>
      <c r="C57" s="206"/>
      <c r="D57" s="206"/>
      <c r="E57" s="206"/>
      <c r="F57" s="206"/>
      <c r="G57" s="206"/>
      <c r="H57" s="206"/>
      <c r="I57" s="206"/>
      <c r="J57" s="206"/>
      <c r="K57" s="206"/>
      <c r="L57" s="206"/>
      <c r="M57" s="206"/>
      <c r="N57" s="206" t="s">
        <v>369</v>
      </c>
      <c r="O57" s="206"/>
      <c r="P57" s="207"/>
      <c r="Q57" s="207"/>
      <c r="R57" s="207"/>
    </row>
    <row r="58" customFormat="false" ht="15" hidden="false" customHeight="false" outlineLevel="0" collapsed="false">
      <c r="P58" s="207"/>
      <c r="Q58" s="207"/>
      <c r="R58" s="207"/>
    </row>
    <row r="59" customFormat="false" ht="15" hidden="false" customHeight="false" outlineLevel="0" collapsed="false">
      <c r="A59" s="35" t="s">
        <v>370</v>
      </c>
      <c r="B59" s="35"/>
      <c r="C59" s="35"/>
      <c r="D59" s="35"/>
      <c r="E59" s="35"/>
      <c r="F59" s="35"/>
      <c r="G59" s="35"/>
      <c r="P59" s="207"/>
      <c r="Q59" s="207"/>
      <c r="R59" s="207"/>
    </row>
    <row r="60" customFormat="false" ht="15" hidden="false" customHeight="false" outlineLevel="0" collapsed="false">
      <c r="A60" s="35" t="s">
        <v>1</v>
      </c>
      <c r="B60" s="37" t="s">
        <v>371</v>
      </c>
      <c r="C60" s="37"/>
      <c r="D60" s="37"/>
      <c r="E60" s="37"/>
      <c r="F60" s="37"/>
      <c r="G60" s="35"/>
      <c r="P60" s="207"/>
      <c r="Q60" s="207"/>
      <c r="R60" s="207"/>
    </row>
    <row r="61" customFormat="false" ht="15" hidden="false" customHeight="false" outlineLevel="0" collapsed="false">
      <c r="A61" s="23" t="s">
        <v>338</v>
      </c>
      <c r="B61" s="187" t="s">
        <v>372</v>
      </c>
      <c r="C61" s="187" t="s">
        <v>373</v>
      </c>
      <c r="D61" s="187" t="s">
        <v>374</v>
      </c>
      <c r="E61" s="23" t="s">
        <v>375</v>
      </c>
      <c r="F61" s="23" t="s">
        <v>376</v>
      </c>
      <c r="G61" s="187" t="s">
        <v>80</v>
      </c>
      <c r="H61" s="205"/>
      <c r="P61" s="207"/>
      <c r="Q61" s="207"/>
      <c r="R61" s="207"/>
    </row>
    <row r="62" customFormat="false" ht="15" hidden="false" customHeight="false" outlineLevel="0" collapsed="false">
      <c r="A62" s="7" t="s">
        <v>81</v>
      </c>
      <c r="B62" s="7" t="n">
        <v>1</v>
      </c>
      <c r="C62" s="7" t="n">
        <v>1</v>
      </c>
      <c r="D62" s="7" t="n">
        <v>0</v>
      </c>
      <c r="E62" s="7" t="n">
        <v>1</v>
      </c>
      <c r="F62" s="7" t="n">
        <v>0</v>
      </c>
      <c r="G62" s="7" t="n">
        <v>3</v>
      </c>
      <c r="H62" s="200"/>
      <c r="I62" s="205"/>
      <c r="P62" s="207"/>
      <c r="Q62" s="207"/>
      <c r="R62" s="207"/>
    </row>
    <row r="63" customFormat="false" ht="15" hidden="false" customHeight="false" outlineLevel="0" collapsed="false">
      <c r="A63" s="7" t="s">
        <v>82</v>
      </c>
      <c r="B63" s="7" t="n">
        <v>1</v>
      </c>
      <c r="C63" s="7" t="n">
        <v>1</v>
      </c>
      <c r="D63" s="7" t="n">
        <v>0</v>
      </c>
      <c r="E63" s="7" t="n">
        <v>1</v>
      </c>
      <c r="F63" s="7" t="n">
        <v>0</v>
      </c>
      <c r="G63" s="7" t="n">
        <v>3</v>
      </c>
      <c r="H63" s="200"/>
      <c r="I63" s="200"/>
      <c r="P63" s="207"/>
      <c r="Q63" s="207"/>
      <c r="R63" s="207"/>
    </row>
    <row r="64" customFormat="false" ht="15" hidden="false" customHeight="false" outlineLevel="0" collapsed="false">
      <c r="A64" s="7" t="s">
        <v>83</v>
      </c>
      <c r="B64" s="7" t="n">
        <v>0</v>
      </c>
      <c r="C64" s="7" t="n">
        <v>0</v>
      </c>
      <c r="D64" s="7" t="n">
        <v>0</v>
      </c>
      <c r="E64" s="7" t="n">
        <v>0</v>
      </c>
      <c r="F64" s="7" t="n">
        <v>0</v>
      </c>
      <c r="G64" s="7" t="n">
        <v>0</v>
      </c>
      <c r="H64" s="200"/>
      <c r="I64" s="200"/>
      <c r="P64" s="207"/>
      <c r="Q64" s="207"/>
      <c r="R64" s="207"/>
    </row>
    <row r="65" customFormat="false" ht="15" hidden="false" customHeight="false" outlineLevel="0" collapsed="false">
      <c r="A65" s="7" t="s">
        <v>84</v>
      </c>
      <c r="B65" s="7" t="n">
        <v>0</v>
      </c>
      <c r="C65" s="7" t="n">
        <v>0</v>
      </c>
      <c r="D65" s="7" t="n">
        <v>1</v>
      </c>
      <c r="E65" s="7" t="n">
        <v>0</v>
      </c>
      <c r="F65" s="7" t="n">
        <v>0</v>
      </c>
      <c r="G65" s="7" t="n">
        <v>1</v>
      </c>
      <c r="H65" s="200"/>
      <c r="I65" s="200"/>
      <c r="P65" s="207"/>
      <c r="Q65" s="207"/>
      <c r="R65" s="207"/>
    </row>
    <row r="66" customFormat="false" ht="15" hidden="false" customHeight="false" outlineLevel="0" collapsed="false">
      <c r="A66" s="7" t="s">
        <v>85</v>
      </c>
      <c r="B66" s="7" t="n">
        <v>1</v>
      </c>
      <c r="C66" s="7" t="n">
        <v>0</v>
      </c>
      <c r="D66" s="7" t="n">
        <v>2</v>
      </c>
      <c r="E66" s="7" t="n">
        <v>1</v>
      </c>
      <c r="F66" s="7" t="n">
        <v>0</v>
      </c>
      <c r="G66" s="7" t="n">
        <v>4</v>
      </c>
      <c r="H66" s="200"/>
      <c r="I66" s="200"/>
      <c r="P66" s="207"/>
      <c r="Q66" s="207"/>
      <c r="R66" s="207"/>
    </row>
    <row r="67" customFormat="false" ht="15" hidden="false" customHeight="false" outlineLevel="0" collapsed="false">
      <c r="A67" s="7" t="s">
        <v>86</v>
      </c>
      <c r="B67" s="7" t="n">
        <v>4</v>
      </c>
      <c r="C67" s="7" t="n">
        <v>4</v>
      </c>
      <c r="D67" s="7" t="n">
        <v>2</v>
      </c>
      <c r="E67" s="7" t="n">
        <v>2</v>
      </c>
      <c r="F67" s="7" t="n">
        <v>2</v>
      </c>
      <c r="G67" s="7" t="n">
        <v>14</v>
      </c>
      <c r="H67" s="200"/>
      <c r="I67" s="200"/>
      <c r="P67" s="207"/>
      <c r="Q67" s="207"/>
      <c r="R67" s="207"/>
    </row>
    <row r="68" customFormat="false" ht="15" hidden="false" customHeight="false" outlineLevel="0" collapsed="false">
      <c r="A68" s="5" t="s">
        <v>342</v>
      </c>
      <c r="B68" s="7" t="n">
        <v>1</v>
      </c>
      <c r="C68" s="7" t="n">
        <v>3</v>
      </c>
      <c r="D68" s="7" t="n">
        <v>4</v>
      </c>
      <c r="E68" s="7" t="n">
        <v>8</v>
      </c>
      <c r="F68" s="7" t="n">
        <v>0</v>
      </c>
      <c r="G68" s="7" t="n">
        <v>16</v>
      </c>
      <c r="H68" s="200"/>
      <c r="I68" s="200"/>
      <c r="P68" s="207"/>
      <c r="Q68" s="207"/>
      <c r="R68" s="207"/>
    </row>
    <row r="69" customFormat="false" ht="15" hidden="false" customHeight="false" outlineLevel="0" collapsed="false">
      <c r="A69" s="5" t="s">
        <v>87</v>
      </c>
      <c r="B69" s="7" t="n">
        <v>2</v>
      </c>
      <c r="C69" s="7" t="n">
        <v>3</v>
      </c>
      <c r="D69" s="7" t="n">
        <v>1</v>
      </c>
      <c r="E69" s="7" t="n">
        <v>10</v>
      </c>
      <c r="F69" s="7" t="n">
        <v>4</v>
      </c>
      <c r="G69" s="7" t="n">
        <v>20</v>
      </c>
      <c r="H69" s="200"/>
      <c r="I69" s="200"/>
      <c r="P69" s="207"/>
      <c r="Q69" s="207"/>
      <c r="R69" s="207"/>
    </row>
    <row r="70" customFormat="false" ht="15" hidden="false" customHeight="false" outlineLevel="0" collapsed="false">
      <c r="A70" s="5" t="s">
        <v>90</v>
      </c>
      <c r="B70" s="7" t="n">
        <v>8</v>
      </c>
      <c r="C70" s="7" t="n">
        <v>2</v>
      </c>
      <c r="D70" s="7" t="n">
        <v>3</v>
      </c>
      <c r="E70" s="7" t="n">
        <v>44</v>
      </c>
      <c r="F70" s="7" t="n">
        <v>15</v>
      </c>
      <c r="G70" s="7" t="n">
        <v>72</v>
      </c>
      <c r="H70" s="200"/>
      <c r="I70" s="200"/>
      <c r="P70" s="207"/>
      <c r="Q70" s="207"/>
      <c r="R70" s="207"/>
    </row>
    <row r="71" customFormat="false" ht="15" hidden="false" customHeight="false" outlineLevel="0" collapsed="false">
      <c r="A71" s="5" t="s">
        <v>100</v>
      </c>
      <c r="B71" s="7" t="n">
        <v>2</v>
      </c>
      <c r="C71" s="7" t="n">
        <v>4</v>
      </c>
      <c r="D71" s="7" t="n">
        <v>2</v>
      </c>
      <c r="E71" s="7" t="n">
        <v>25</v>
      </c>
      <c r="F71" s="7" t="n">
        <v>5</v>
      </c>
      <c r="G71" s="7" t="n">
        <v>38</v>
      </c>
      <c r="H71" s="200"/>
      <c r="I71" s="200"/>
      <c r="P71" s="207"/>
      <c r="Q71" s="207"/>
      <c r="R71" s="207"/>
    </row>
    <row r="72" customFormat="false" ht="15" hidden="false" customHeight="false" outlineLevel="0" collapsed="false">
      <c r="A72" s="188" t="s">
        <v>12</v>
      </c>
      <c r="B72" s="194" t="n">
        <v>20</v>
      </c>
      <c r="C72" s="194" t="n">
        <v>18</v>
      </c>
      <c r="D72" s="194" t="n">
        <v>15</v>
      </c>
      <c r="E72" s="194" t="n">
        <v>92</v>
      </c>
      <c r="F72" s="194" t="n">
        <v>26</v>
      </c>
      <c r="G72" s="194" t="n">
        <v>171</v>
      </c>
      <c r="H72" s="200"/>
      <c r="I72" s="200"/>
      <c r="P72" s="98"/>
      <c r="Q72" s="207"/>
      <c r="R72" s="207"/>
    </row>
    <row r="73" customFormat="false" ht="15" hidden="false" customHeight="false" outlineLevel="0" collapsed="false">
      <c r="A73" s="188" t="s">
        <v>117</v>
      </c>
      <c r="B73" s="190" t="n">
        <v>0.116959064327485</v>
      </c>
      <c r="C73" s="190" t="n">
        <v>0.105263157894737</v>
      </c>
      <c r="D73" s="190" t="n">
        <v>0.087719298245614</v>
      </c>
      <c r="E73" s="190" t="n">
        <v>0.538011695906433</v>
      </c>
      <c r="F73" s="190" t="n">
        <v>0.152046783625731</v>
      </c>
      <c r="G73" s="190" t="n">
        <v>1</v>
      </c>
      <c r="H73" s="205"/>
      <c r="I73" s="200"/>
      <c r="P73" s="98"/>
      <c r="Q73" s="207"/>
      <c r="R73" s="207"/>
    </row>
    <row r="74" customFormat="false" ht="15" hidden="false" customHeight="false" outlineLevel="0" collapsed="false">
      <c r="A74" s="34" t="s">
        <v>118</v>
      </c>
      <c r="B74" s="206"/>
      <c r="C74" s="206"/>
      <c r="D74" s="206"/>
      <c r="E74" s="206"/>
      <c r="F74" s="206"/>
      <c r="G74" s="206"/>
      <c r="H74" s="205"/>
      <c r="I74" s="200"/>
      <c r="P74" s="98"/>
      <c r="Q74" s="207"/>
      <c r="R74" s="207"/>
    </row>
    <row r="75" customFormat="false" ht="15" hidden="false" customHeight="false" outlineLevel="0" collapsed="false">
      <c r="H75" s="196"/>
      <c r="I75" s="205"/>
      <c r="P75" s="98"/>
      <c r="Q75" s="207"/>
      <c r="R75" s="207"/>
    </row>
    <row r="76" customFormat="false" ht="15" hidden="false" customHeight="false" outlineLevel="0" collapsed="false">
      <c r="A76" s="35" t="s">
        <v>377</v>
      </c>
      <c r="B76" s="35"/>
      <c r="C76" s="35"/>
      <c r="D76" s="35"/>
      <c r="E76" s="35"/>
      <c r="F76" s="35"/>
      <c r="G76" s="35"/>
      <c r="H76" s="35"/>
      <c r="I76" s="35"/>
    </row>
    <row r="77" customFormat="false" ht="15" hidden="false" customHeight="false" outlineLevel="0" collapsed="false">
      <c r="A77" s="36" t="s">
        <v>1</v>
      </c>
      <c r="B77" s="37" t="s">
        <v>378</v>
      </c>
      <c r="C77" s="37"/>
      <c r="D77" s="37"/>
      <c r="E77" s="37"/>
      <c r="F77" s="37"/>
      <c r="G77" s="37"/>
      <c r="H77" s="37"/>
      <c r="I77" s="36"/>
    </row>
    <row r="78" customFormat="false" ht="15" hidden="false" customHeight="true" outlineLevel="0" collapsed="false">
      <c r="A78" s="39" t="s">
        <v>338</v>
      </c>
      <c r="B78" s="193" t="s">
        <v>379</v>
      </c>
      <c r="C78" s="193"/>
      <c r="D78" s="193"/>
      <c r="E78" s="193"/>
      <c r="F78" s="193"/>
      <c r="G78" s="193"/>
      <c r="H78" s="39" t="s">
        <v>127</v>
      </c>
      <c r="I78" s="193" t="s">
        <v>80</v>
      </c>
    </row>
    <row r="79" customFormat="false" ht="15" hidden="false" customHeight="false" outlineLevel="0" collapsed="false">
      <c r="A79" s="39"/>
      <c r="B79" s="27" t="s">
        <v>380</v>
      </c>
      <c r="C79" s="27" t="s">
        <v>381</v>
      </c>
      <c r="D79" s="27" t="s">
        <v>382</v>
      </c>
      <c r="E79" s="27" t="s">
        <v>383</v>
      </c>
      <c r="F79" s="208" t="s">
        <v>384</v>
      </c>
      <c r="G79" s="208" t="s">
        <v>385</v>
      </c>
      <c r="H79" s="39"/>
      <c r="I79" s="193"/>
    </row>
    <row r="80" customFormat="false" ht="13.8" hidden="false" customHeight="false" outlineLevel="0" collapsed="false">
      <c r="A80" s="7" t="s">
        <v>81</v>
      </c>
      <c r="B80" s="7" t="n">
        <v>1</v>
      </c>
      <c r="C80" s="7" t="n">
        <v>1</v>
      </c>
      <c r="D80" s="7" t="n">
        <v>1</v>
      </c>
      <c r="E80" s="7" t="n">
        <v>0</v>
      </c>
      <c r="F80" s="7" t="n">
        <v>0</v>
      </c>
      <c r="G80" s="7" t="n">
        <v>0</v>
      </c>
      <c r="H80" s="7" t="n">
        <v>0</v>
      </c>
      <c r="I80" s="7" t="n">
        <v>3</v>
      </c>
      <c r="L80" s="0" t="s">
        <v>386</v>
      </c>
    </row>
    <row r="81" customFormat="false" ht="15" hidden="false" customHeight="false" outlineLevel="0" collapsed="false">
      <c r="A81" s="7" t="s">
        <v>82</v>
      </c>
      <c r="B81" s="7" t="n">
        <v>3</v>
      </c>
      <c r="C81" s="7" t="n">
        <v>0</v>
      </c>
      <c r="D81" s="7" t="n">
        <v>0</v>
      </c>
      <c r="E81" s="7" t="n">
        <v>0</v>
      </c>
      <c r="F81" s="7" t="n">
        <v>0</v>
      </c>
      <c r="G81" s="7" t="n">
        <v>0</v>
      </c>
      <c r="H81" s="7" t="n">
        <v>0</v>
      </c>
      <c r="I81" s="7" t="n">
        <v>3</v>
      </c>
    </row>
    <row r="82" customFormat="false" ht="15" hidden="false" customHeight="false" outlineLevel="0" collapsed="false">
      <c r="A82" s="7" t="s">
        <v>83</v>
      </c>
      <c r="B82" s="7" t="n">
        <v>0</v>
      </c>
      <c r="C82" s="7" t="n">
        <v>0</v>
      </c>
      <c r="D82" s="7" t="n">
        <v>0</v>
      </c>
      <c r="E82" s="7" t="n">
        <v>0</v>
      </c>
      <c r="F82" s="7" t="n">
        <v>0</v>
      </c>
      <c r="G82" s="7" t="n">
        <v>0</v>
      </c>
      <c r="H82" s="7" t="n">
        <v>0</v>
      </c>
      <c r="I82" s="7" t="n">
        <v>0</v>
      </c>
    </row>
    <row r="83" customFormat="false" ht="15" hidden="false" customHeight="false" outlineLevel="0" collapsed="false">
      <c r="A83" s="7" t="s">
        <v>84</v>
      </c>
      <c r="B83" s="7" t="n">
        <v>0</v>
      </c>
      <c r="C83" s="7" t="n">
        <v>1</v>
      </c>
      <c r="D83" s="7" t="n">
        <v>0</v>
      </c>
      <c r="E83" s="7" t="n">
        <v>0</v>
      </c>
      <c r="F83" s="7" t="n">
        <v>0</v>
      </c>
      <c r="G83" s="7" t="n">
        <v>0</v>
      </c>
      <c r="H83" s="7" t="n">
        <v>0</v>
      </c>
      <c r="I83" s="7" t="n">
        <v>1</v>
      </c>
    </row>
    <row r="84" customFormat="false" ht="15" hidden="false" customHeight="false" outlineLevel="0" collapsed="false">
      <c r="A84" s="7" t="s">
        <v>85</v>
      </c>
      <c r="B84" s="7" t="n">
        <v>1</v>
      </c>
      <c r="C84" s="7" t="n">
        <v>1</v>
      </c>
      <c r="D84" s="7" t="n">
        <v>0</v>
      </c>
      <c r="E84" s="7" t="n">
        <v>0</v>
      </c>
      <c r="F84" s="7" t="n">
        <v>1</v>
      </c>
      <c r="G84" s="7" t="n">
        <v>0</v>
      </c>
      <c r="H84" s="7" t="n">
        <v>1</v>
      </c>
      <c r="I84" s="7" t="n">
        <v>4</v>
      </c>
    </row>
    <row r="85" customFormat="false" ht="15" hidden="false" customHeight="false" outlineLevel="0" collapsed="false">
      <c r="A85" s="7" t="s">
        <v>86</v>
      </c>
      <c r="B85" s="7" t="n">
        <v>0</v>
      </c>
      <c r="C85" s="7" t="n">
        <v>9</v>
      </c>
      <c r="D85" s="7" t="n">
        <v>3</v>
      </c>
      <c r="E85" s="7" t="n">
        <v>0</v>
      </c>
      <c r="F85" s="7" t="n">
        <v>0</v>
      </c>
      <c r="G85" s="7" t="n">
        <v>0</v>
      </c>
      <c r="H85" s="7" t="n">
        <v>2</v>
      </c>
      <c r="I85" s="7" t="n">
        <v>14</v>
      </c>
    </row>
    <row r="86" customFormat="false" ht="15" hidden="false" customHeight="false" outlineLevel="0" collapsed="false">
      <c r="A86" s="5" t="s">
        <v>342</v>
      </c>
      <c r="B86" s="7" t="n">
        <v>0</v>
      </c>
      <c r="C86" s="7" t="n">
        <v>5</v>
      </c>
      <c r="D86" s="7" t="n">
        <v>5</v>
      </c>
      <c r="E86" s="7" t="n">
        <v>1</v>
      </c>
      <c r="F86" s="7" t="n">
        <v>5</v>
      </c>
      <c r="G86" s="7" t="n">
        <v>0</v>
      </c>
      <c r="H86" s="7" t="n">
        <v>0</v>
      </c>
      <c r="I86" s="7" t="n">
        <v>16</v>
      </c>
    </row>
    <row r="87" customFormat="false" ht="15" hidden="false" customHeight="false" outlineLevel="0" collapsed="false">
      <c r="A87" s="5" t="s">
        <v>87</v>
      </c>
      <c r="B87" s="7" t="n">
        <v>9</v>
      </c>
      <c r="C87" s="7" t="n">
        <v>5</v>
      </c>
      <c r="D87" s="7" t="n">
        <v>1</v>
      </c>
      <c r="E87" s="7" t="n">
        <v>2</v>
      </c>
      <c r="F87" s="7" t="n">
        <v>0</v>
      </c>
      <c r="G87" s="7" t="n">
        <v>0</v>
      </c>
      <c r="H87" s="7" t="n">
        <v>3</v>
      </c>
      <c r="I87" s="7" t="n">
        <v>20</v>
      </c>
    </row>
    <row r="88" customFormat="false" ht="15" hidden="false" customHeight="false" outlineLevel="0" collapsed="false">
      <c r="A88" s="5" t="s">
        <v>90</v>
      </c>
      <c r="B88" s="7" t="n">
        <v>8</v>
      </c>
      <c r="C88" s="7" t="n">
        <v>40</v>
      </c>
      <c r="D88" s="7" t="n">
        <v>7</v>
      </c>
      <c r="E88" s="7" t="n">
        <v>8</v>
      </c>
      <c r="F88" s="7" t="n">
        <v>2</v>
      </c>
      <c r="G88" s="7" t="n">
        <v>2</v>
      </c>
      <c r="H88" s="7" t="n">
        <v>5</v>
      </c>
      <c r="I88" s="7" t="n">
        <v>72</v>
      </c>
    </row>
    <row r="89" customFormat="false" ht="15" hidden="false" customHeight="false" outlineLevel="0" collapsed="false">
      <c r="A89" s="5" t="s">
        <v>100</v>
      </c>
      <c r="B89" s="7" t="n">
        <v>6</v>
      </c>
      <c r="C89" s="7" t="n">
        <v>28</v>
      </c>
      <c r="D89" s="7" t="n">
        <v>2</v>
      </c>
      <c r="E89" s="7" t="n">
        <v>2</v>
      </c>
      <c r="F89" s="7" t="n">
        <v>0</v>
      </c>
      <c r="G89" s="7" t="n">
        <v>0</v>
      </c>
      <c r="H89" s="7" t="n">
        <v>0</v>
      </c>
      <c r="I89" s="7" t="n">
        <v>38</v>
      </c>
    </row>
    <row r="90" customFormat="false" ht="15" hidden="false" customHeight="false" outlineLevel="0" collapsed="false">
      <c r="A90" s="188" t="s">
        <v>12</v>
      </c>
      <c r="B90" s="194" t="n">
        <v>28</v>
      </c>
      <c r="C90" s="194" t="n">
        <v>90</v>
      </c>
      <c r="D90" s="194" t="n">
        <v>19</v>
      </c>
      <c r="E90" s="194" t="n">
        <v>13</v>
      </c>
      <c r="F90" s="194" t="n">
        <v>8</v>
      </c>
      <c r="G90" s="194" t="n">
        <v>2</v>
      </c>
      <c r="H90" s="194" t="n">
        <v>11</v>
      </c>
      <c r="I90" s="194" t="n">
        <v>171</v>
      </c>
    </row>
    <row r="91" customFormat="false" ht="15" hidden="false" customHeight="false" outlineLevel="0" collapsed="false">
      <c r="A91" s="188" t="s">
        <v>117</v>
      </c>
      <c r="B91" s="190" t="n">
        <v>0.16374269005848</v>
      </c>
      <c r="C91" s="190" t="n">
        <v>0.526315789473684</v>
      </c>
      <c r="D91" s="190" t="n">
        <v>0.111111111111111</v>
      </c>
      <c r="E91" s="190" t="n">
        <v>0.0760233918128655</v>
      </c>
      <c r="F91" s="190" t="n">
        <v>0.0467836257309942</v>
      </c>
      <c r="G91" s="190" t="n">
        <v>0.0116959064327485</v>
      </c>
      <c r="H91" s="190" t="n">
        <v>0.064327485380117</v>
      </c>
      <c r="I91" s="190" t="n">
        <v>1</v>
      </c>
    </row>
    <row r="92" customFormat="false" ht="15" hidden="false" customHeight="false" outlineLevel="0" collapsed="false">
      <c r="A92" s="34" t="s">
        <v>118</v>
      </c>
    </row>
    <row r="96" customFormat="false" ht="15" hidden="false" customHeight="false" outlineLevel="0" collapsed="false">
      <c r="A96" s="35" t="s">
        <v>387</v>
      </c>
      <c r="B96" s="35"/>
      <c r="C96" s="35"/>
      <c r="D96" s="35"/>
      <c r="E96" s="35"/>
      <c r="F96" s="35"/>
      <c r="I96" s="196"/>
    </row>
    <row r="97" customFormat="false" ht="15" hidden="false" customHeight="false" outlineLevel="0" collapsed="false">
      <c r="A97" s="36" t="s">
        <v>1</v>
      </c>
      <c r="B97" s="37" t="s">
        <v>388</v>
      </c>
      <c r="C97" s="37"/>
      <c r="D97" s="37"/>
      <c r="E97" s="37"/>
      <c r="F97" s="36"/>
      <c r="I97" s="196"/>
    </row>
    <row r="98" customFormat="false" ht="15" hidden="false" customHeight="true" outlineLevel="0" collapsed="false">
      <c r="A98" s="39" t="s">
        <v>338</v>
      </c>
      <c r="B98" s="39" t="s">
        <v>389</v>
      </c>
      <c r="C98" s="39" t="s">
        <v>390</v>
      </c>
      <c r="D98" s="39" t="s">
        <v>391</v>
      </c>
      <c r="E98" s="39" t="s">
        <v>127</v>
      </c>
      <c r="F98" s="39" t="s">
        <v>80</v>
      </c>
    </row>
    <row r="99" customFormat="false" ht="15" hidden="false" customHeight="false" outlineLevel="0" collapsed="false">
      <c r="A99" s="39"/>
      <c r="B99" s="39"/>
      <c r="C99" s="39"/>
      <c r="D99" s="39"/>
      <c r="E99" s="39"/>
      <c r="F99" s="39"/>
    </row>
    <row r="100" customFormat="false" ht="15" hidden="false" customHeight="false" outlineLevel="0" collapsed="false">
      <c r="A100" s="7" t="s">
        <v>81</v>
      </c>
      <c r="B100" s="7" t="n">
        <v>2</v>
      </c>
      <c r="C100" s="7" t="n">
        <v>1</v>
      </c>
      <c r="D100" s="7" t="n">
        <v>0</v>
      </c>
      <c r="E100" s="7" t="n">
        <v>0</v>
      </c>
      <c r="F100" s="7" t="n">
        <v>3</v>
      </c>
    </row>
    <row r="101" customFormat="false" ht="15" hidden="false" customHeight="false" outlineLevel="0" collapsed="false">
      <c r="A101" s="7" t="s">
        <v>82</v>
      </c>
      <c r="B101" s="7" t="n">
        <v>2</v>
      </c>
      <c r="C101" s="7" t="n">
        <v>1</v>
      </c>
      <c r="D101" s="7" t="n">
        <v>0</v>
      </c>
      <c r="E101" s="7" t="n">
        <v>0</v>
      </c>
      <c r="F101" s="7" t="n">
        <v>3</v>
      </c>
      <c r="G101" s="205"/>
      <c r="H101" s="205"/>
      <c r="I101" s="205"/>
    </row>
    <row r="102" customFormat="false" ht="15" hidden="false" customHeight="false" outlineLevel="0" collapsed="false">
      <c r="A102" s="7" t="s">
        <v>83</v>
      </c>
      <c r="B102" s="7" t="n">
        <v>0</v>
      </c>
      <c r="C102" s="7" t="n">
        <v>0</v>
      </c>
      <c r="D102" s="7" t="n">
        <v>0</v>
      </c>
      <c r="E102" s="7" t="n">
        <v>0</v>
      </c>
      <c r="F102" s="7" t="n">
        <v>0</v>
      </c>
      <c r="G102" s="200"/>
      <c r="H102" s="200"/>
      <c r="I102" s="200"/>
    </row>
    <row r="103" customFormat="false" ht="15" hidden="false" customHeight="false" outlineLevel="0" collapsed="false">
      <c r="A103" s="7" t="s">
        <v>84</v>
      </c>
      <c r="B103" s="7" t="n">
        <v>0</v>
      </c>
      <c r="C103" s="7" t="n">
        <v>0</v>
      </c>
      <c r="D103" s="7" t="n">
        <v>1</v>
      </c>
      <c r="E103" s="7" t="n">
        <v>0</v>
      </c>
      <c r="F103" s="7" t="n">
        <v>1</v>
      </c>
      <c r="G103" s="200"/>
      <c r="H103" s="200"/>
      <c r="I103" s="200"/>
    </row>
    <row r="104" customFormat="false" ht="15" hidden="false" customHeight="false" outlineLevel="0" collapsed="false">
      <c r="A104" s="7" t="s">
        <v>85</v>
      </c>
      <c r="B104" s="7" t="n">
        <v>3</v>
      </c>
      <c r="C104" s="7" t="n">
        <v>0</v>
      </c>
      <c r="D104" s="7" t="n">
        <v>1</v>
      </c>
      <c r="E104" s="7" t="n">
        <v>0</v>
      </c>
      <c r="F104" s="7" t="n">
        <v>4</v>
      </c>
      <c r="G104" s="200"/>
      <c r="H104" s="200"/>
      <c r="I104" s="200"/>
    </row>
    <row r="105" customFormat="false" ht="15" hidden="false" customHeight="false" outlineLevel="0" collapsed="false">
      <c r="A105" s="7" t="s">
        <v>86</v>
      </c>
      <c r="B105" s="7" t="n">
        <v>7</v>
      </c>
      <c r="C105" s="7" t="n">
        <v>1</v>
      </c>
      <c r="D105" s="7" t="n">
        <v>6</v>
      </c>
      <c r="E105" s="7" t="n">
        <v>0</v>
      </c>
      <c r="F105" s="7" t="n">
        <v>14</v>
      </c>
      <c r="G105" s="200"/>
      <c r="H105" s="200"/>
      <c r="I105" s="200"/>
    </row>
    <row r="106" customFormat="false" ht="15" hidden="false" customHeight="false" outlineLevel="0" collapsed="false">
      <c r="A106" s="5" t="s">
        <v>342</v>
      </c>
      <c r="B106" s="7" t="n">
        <v>1</v>
      </c>
      <c r="C106" s="7" t="n">
        <v>5</v>
      </c>
      <c r="D106" s="7" t="n">
        <v>9</v>
      </c>
      <c r="E106" s="7" t="n">
        <v>1</v>
      </c>
      <c r="F106" s="7" t="n">
        <v>16</v>
      </c>
      <c r="G106" s="200"/>
      <c r="H106" s="200"/>
      <c r="I106" s="200"/>
    </row>
    <row r="107" customFormat="false" ht="15" hidden="false" customHeight="false" outlineLevel="0" collapsed="false">
      <c r="A107" s="5" t="s">
        <v>87</v>
      </c>
      <c r="B107" s="7" t="n">
        <v>11</v>
      </c>
      <c r="C107" s="7" t="n">
        <v>0</v>
      </c>
      <c r="D107" s="7" t="n">
        <v>6</v>
      </c>
      <c r="E107" s="7" t="n">
        <v>3</v>
      </c>
      <c r="F107" s="7" t="n">
        <v>20</v>
      </c>
      <c r="G107" s="200"/>
      <c r="H107" s="200"/>
      <c r="I107" s="200"/>
    </row>
    <row r="108" customFormat="false" ht="15" hidden="false" customHeight="false" outlineLevel="0" collapsed="false">
      <c r="A108" s="5" t="s">
        <v>90</v>
      </c>
      <c r="B108" s="7" t="n">
        <v>61</v>
      </c>
      <c r="C108" s="7" t="n">
        <v>4</v>
      </c>
      <c r="D108" s="7" t="n">
        <v>3</v>
      </c>
      <c r="E108" s="7" t="n">
        <v>4</v>
      </c>
      <c r="F108" s="7" t="n">
        <v>72</v>
      </c>
      <c r="G108" s="200"/>
      <c r="H108" s="200"/>
      <c r="I108" s="200"/>
    </row>
    <row r="109" customFormat="false" ht="15" hidden="false" customHeight="false" outlineLevel="0" collapsed="false">
      <c r="A109" s="5" t="s">
        <v>100</v>
      </c>
      <c r="B109" s="7" t="n">
        <v>33</v>
      </c>
      <c r="C109" s="7" t="n">
        <v>3</v>
      </c>
      <c r="D109" s="7" t="n">
        <v>2</v>
      </c>
      <c r="E109" s="7" t="n">
        <v>0</v>
      </c>
      <c r="F109" s="7" t="n">
        <v>38</v>
      </c>
      <c r="G109" s="200"/>
      <c r="H109" s="200"/>
      <c r="I109" s="200"/>
    </row>
    <row r="110" customFormat="false" ht="15" hidden="false" customHeight="false" outlineLevel="0" collapsed="false">
      <c r="A110" s="188" t="s">
        <v>12</v>
      </c>
      <c r="B110" s="194" t="n">
        <v>120</v>
      </c>
      <c r="C110" s="194" t="n">
        <v>15</v>
      </c>
      <c r="D110" s="194" t="n">
        <v>28</v>
      </c>
      <c r="E110" s="194" t="n">
        <v>8</v>
      </c>
      <c r="F110" s="194" t="n">
        <v>171</v>
      </c>
      <c r="G110" s="200"/>
      <c r="H110" s="200"/>
      <c r="I110" s="200"/>
    </row>
    <row r="111" customFormat="false" ht="15" hidden="false" customHeight="false" outlineLevel="0" collapsed="false">
      <c r="A111" s="188" t="s">
        <v>117</v>
      </c>
      <c r="B111" s="190" t="n">
        <v>0.701754385964912</v>
      </c>
      <c r="C111" s="190" t="n">
        <v>0.087719298245614</v>
      </c>
      <c r="D111" s="190" t="n">
        <v>0.16374269005848</v>
      </c>
      <c r="E111" s="190" t="n">
        <v>0.0467836257309942</v>
      </c>
      <c r="F111" s="190" t="n">
        <v>1</v>
      </c>
      <c r="G111" s="200"/>
      <c r="I111" s="200"/>
    </row>
    <row r="112" customFormat="false" ht="15" hidden="false" customHeight="false" outlineLevel="0" collapsed="false">
      <c r="A112" s="34" t="s">
        <v>118</v>
      </c>
      <c r="B112" s="206"/>
      <c r="C112" s="206"/>
      <c r="D112" s="206"/>
      <c r="E112" s="206"/>
      <c r="F112" s="206"/>
      <c r="G112" s="200"/>
      <c r="I112" s="200"/>
    </row>
    <row r="113" customFormat="false" ht="15" hidden="false" customHeight="false" outlineLevel="0" collapsed="false">
      <c r="A113" s="209"/>
      <c r="B113" s="206"/>
      <c r="C113" s="206"/>
      <c r="D113" s="206"/>
      <c r="E113" s="206"/>
      <c r="F113" s="206"/>
      <c r="G113" s="200"/>
      <c r="I113" s="200"/>
    </row>
    <row r="114" customFormat="false" ht="15" hidden="false" customHeight="false" outlineLevel="0" collapsed="false">
      <c r="A114" s="209"/>
      <c r="B114" s="206"/>
      <c r="C114" s="206"/>
      <c r="D114" s="206"/>
      <c r="E114" s="206"/>
      <c r="F114" s="206"/>
      <c r="G114" s="200"/>
      <c r="I114" s="200"/>
    </row>
    <row r="115" customFormat="false" ht="15" hidden="false" customHeight="false" outlineLevel="0" collapsed="false">
      <c r="A115" s="210"/>
      <c r="B115" s="210"/>
      <c r="C115" s="210"/>
      <c r="D115" s="210"/>
      <c r="E115" s="210"/>
      <c r="F115" s="210"/>
      <c r="G115" s="200"/>
      <c r="H115" s="200"/>
      <c r="I115" s="200"/>
    </row>
    <row r="116" customFormat="false" ht="15" hidden="false" customHeight="false" outlineLevel="0" collapsed="false">
      <c r="A116" s="35" t="s">
        <v>392</v>
      </c>
      <c r="B116" s="35"/>
      <c r="C116" s="35"/>
      <c r="D116" s="35"/>
      <c r="E116" s="35"/>
      <c r="F116" s="35"/>
      <c r="G116" s="35"/>
      <c r="H116" s="35"/>
      <c r="I116" s="35"/>
    </row>
    <row r="117" customFormat="false" ht="15" hidden="false" customHeight="false" outlineLevel="0" collapsed="false">
      <c r="A117" s="35" t="s">
        <v>1</v>
      </c>
      <c r="B117" s="37" t="s">
        <v>393</v>
      </c>
      <c r="C117" s="37"/>
      <c r="D117" s="37"/>
      <c r="E117" s="37"/>
      <c r="F117" s="37"/>
      <c r="G117" s="37"/>
      <c r="H117" s="37"/>
      <c r="I117" s="35"/>
    </row>
    <row r="118" customFormat="false" ht="15" hidden="false" customHeight="true" outlineLevel="0" collapsed="false">
      <c r="A118" s="39" t="s">
        <v>338</v>
      </c>
      <c r="B118" s="39" t="s">
        <v>394</v>
      </c>
      <c r="C118" s="39" t="s">
        <v>395</v>
      </c>
      <c r="D118" s="39" t="s">
        <v>396</v>
      </c>
      <c r="E118" s="39" t="s">
        <v>397</v>
      </c>
      <c r="F118" s="39" t="s">
        <v>398</v>
      </c>
      <c r="G118" s="39" t="s">
        <v>399</v>
      </c>
      <c r="H118" s="39" t="s">
        <v>127</v>
      </c>
      <c r="I118" s="39" t="s">
        <v>80</v>
      </c>
    </row>
    <row r="119" customFormat="false" ht="15" hidden="false" customHeight="false" outlineLevel="0" collapsed="false">
      <c r="A119" s="39"/>
      <c r="B119" s="39"/>
      <c r="C119" s="39"/>
      <c r="D119" s="39"/>
      <c r="E119" s="39"/>
      <c r="F119" s="39"/>
      <c r="G119" s="39"/>
      <c r="H119" s="39"/>
      <c r="I119" s="39"/>
    </row>
    <row r="120" customFormat="false" ht="15" hidden="false" customHeight="false" outlineLevel="0" collapsed="false">
      <c r="A120" s="7" t="s">
        <v>81</v>
      </c>
      <c r="B120" s="7" t="n">
        <v>0</v>
      </c>
      <c r="C120" s="7" t="n">
        <v>0</v>
      </c>
      <c r="D120" s="7" t="n">
        <v>0</v>
      </c>
      <c r="E120" s="7" t="n">
        <v>0</v>
      </c>
      <c r="F120" s="7" t="n">
        <v>0</v>
      </c>
      <c r="G120" s="7" t="n">
        <v>3</v>
      </c>
      <c r="H120" s="7" t="n">
        <v>0</v>
      </c>
      <c r="I120" s="7" t="n">
        <v>3</v>
      </c>
    </row>
    <row r="121" customFormat="false" ht="15" hidden="false" customHeight="false" outlineLevel="0" collapsed="false">
      <c r="A121" s="7" t="s">
        <v>82</v>
      </c>
      <c r="B121" s="7" t="n">
        <v>0</v>
      </c>
      <c r="C121" s="7" t="n">
        <v>0</v>
      </c>
      <c r="D121" s="7" t="n">
        <v>0</v>
      </c>
      <c r="E121" s="7" t="n">
        <v>0</v>
      </c>
      <c r="F121" s="7" t="n">
        <v>0</v>
      </c>
      <c r="G121" s="7" t="n">
        <v>2</v>
      </c>
      <c r="H121" s="7" t="n">
        <v>1</v>
      </c>
      <c r="I121" s="7" t="n">
        <v>3</v>
      </c>
    </row>
    <row r="122" customFormat="false" ht="15" hidden="false" customHeight="false" outlineLevel="0" collapsed="false">
      <c r="A122" s="7" t="s">
        <v>83</v>
      </c>
      <c r="B122" s="7" t="n">
        <v>0</v>
      </c>
      <c r="C122" s="7" t="n">
        <v>0</v>
      </c>
      <c r="D122" s="7" t="n">
        <v>0</v>
      </c>
      <c r="E122" s="7" t="n">
        <v>0</v>
      </c>
      <c r="F122" s="7" t="n">
        <v>0</v>
      </c>
      <c r="G122" s="7" t="n">
        <v>0</v>
      </c>
      <c r="H122" s="7" t="n">
        <v>0</v>
      </c>
      <c r="I122" s="7" t="n">
        <v>0</v>
      </c>
    </row>
    <row r="123" customFormat="false" ht="15" hidden="false" customHeight="false" outlineLevel="0" collapsed="false">
      <c r="A123" s="7" t="s">
        <v>84</v>
      </c>
      <c r="B123" s="7" t="n">
        <v>0</v>
      </c>
      <c r="C123" s="7" t="n">
        <v>0</v>
      </c>
      <c r="D123" s="7" t="n">
        <v>1</v>
      </c>
      <c r="E123" s="7" t="n">
        <v>0</v>
      </c>
      <c r="F123" s="7" t="n">
        <v>0</v>
      </c>
      <c r="G123" s="7" t="n">
        <v>0</v>
      </c>
      <c r="H123" s="7" t="n">
        <v>0</v>
      </c>
      <c r="I123" s="7" t="n">
        <v>1</v>
      </c>
    </row>
    <row r="124" customFormat="false" ht="15" hidden="false" customHeight="false" outlineLevel="0" collapsed="false">
      <c r="A124" s="7" t="s">
        <v>85</v>
      </c>
      <c r="B124" s="7" t="n">
        <v>0</v>
      </c>
      <c r="C124" s="7" t="n">
        <v>0</v>
      </c>
      <c r="D124" s="7" t="n">
        <v>0</v>
      </c>
      <c r="E124" s="7" t="n">
        <v>0</v>
      </c>
      <c r="F124" s="7" t="n">
        <v>0</v>
      </c>
      <c r="G124" s="7" t="n">
        <v>3</v>
      </c>
      <c r="H124" s="7" t="n">
        <v>1</v>
      </c>
      <c r="I124" s="7" t="n">
        <v>4</v>
      </c>
    </row>
    <row r="125" customFormat="false" ht="15" hidden="false" customHeight="false" outlineLevel="0" collapsed="false">
      <c r="A125" s="7" t="s">
        <v>86</v>
      </c>
      <c r="B125" s="7" t="n">
        <v>1</v>
      </c>
      <c r="C125" s="7" t="n">
        <v>0</v>
      </c>
      <c r="D125" s="7" t="n">
        <v>3</v>
      </c>
      <c r="E125" s="7" t="n">
        <v>0</v>
      </c>
      <c r="F125" s="7" t="n">
        <v>0</v>
      </c>
      <c r="G125" s="7" t="n">
        <v>8</v>
      </c>
      <c r="H125" s="7" t="n">
        <v>2</v>
      </c>
      <c r="I125" s="7" t="n">
        <v>14</v>
      </c>
    </row>
    <row r="126" customFormat="false" ht="15" hidden="false" customHeight="false" outlineLevel="0" collapsed="false">
      <c r="A126" s="5" t="s">
        <v>342</v>
      </c>
      <c r="B126" s="7" t="n">
        <v>0</v>
      </c>
      <c r="C126" s="7" t="n">
        <v>3</v>
      </c>
      <c r="D126" s="7" t="n">
        <v>6</v>
      </c>
      <c r="E126" s="7" t="n">
        <v>0</v>
      </c>
      <c r="F126" s="7" t="n">
        <v>0</v>
      </c>
      <c r="G126" s="7" t="n">
        <v>6</v>
      </c>
      <c r="H126" s="7" t="n">
        <v>1</v>
      </c>
      <c r="I126" s="7" t="n">
        <v>16</v>
      </c>
    </row>
    <row r="127" customFormat="false" ht="15" hidden="false" customHeight="false" outlineLevel="0" collapsed="false">
      <c r="A127" s="5" t="s">
        <v>87</v>
      </c>
      <c r="B127" s="7" t="n">
        <v>0</v>
      </c>
      <c r="C127" s="7" t="n">
        <v>3</v>
      </c>
      <c r="D127" s="7" t="n">
        <v>3</v>
      </c>
      <c r="E127" s="7" t="n">
        <v>0</v>
      </c>
      <c r="F127" s="7" t="n">
        <v>0</v>
      </c>
      <c r="G127" s="7" t="n">
        <v>11</v>
      </c>
      <c r="H127" s="7" t="n">
        <v>3</v>
      </c>
      <c r="I127" s="7" t="n">
        <v>20</v>
      </c>
    </row>
    <row r="128" customFormat="false" ht="15" hidden="false" customHeight="false" outlineLevel="0" collapsed="false">
      <c r="A128" s="5" t="s">
        <v>90</v>
      </c>
      <c r="B128" s="7" t="n">
        <v>0</v>
      </c>
      <c r="C128" s="7" t="n">
        <v>16</v>
      </c>
      <c r="D128" s="7" t="n">
        <v>15</v>
      </c>
      <c r="E128" s="7" t="n">
        <v>2</v>
      </c>
      <c r="F128" s="7" t="n">
        <v>0</v>
      </c>
      <c r="G128" s="7" t="n">
        <v>33</v>
      </c>
      <c r="H128" s="7" t="n">
        <v>6</v>
      </c>
      <c r="I128" s="7" t="n">
        <v>72</v>
      </c>
    </row>
    <row r="129" customFormat="false" ht="15" hidden="false" customHeight="false" outlineLevel="0" collapsed="false">
      <c r="A129" s="5" t="s">
        <v>100</v>
      </c>
      <c r="B129" s="7" t="n">
        <v>0</v>
      </c>
      <c r="C129" s="7" t="n">
        <v>6</v>
      </c>
      <c r="D129" s="7" t="n">
        <v>10</v>
      </c>
      <c r="E129" s="7" t="n">
        <v>1</v>
      </c>
      <c r="F129" s="7" t="n">
        <v>0</v>
      </c>
      <c r="G129" s="7" t="n">
        <v>20</v>
      </c>
      <c r="H129" s="7" t="n">
        <v>1</v>
      </c>
      <c r="I129" s="7" t="n">
        <v>38</v>
      </c>
    </row>
    <row r="130" customFormat="false" ht="15" hidden="false" customHeight="false" outlineLevel="0" collapsed="false">
      <c r="A130" s="188" t="s">
        <v>12</v>
      </c>
      <c r="B130" s="194" t="n">
        <v>1</v>
      </c>
      <c r="C130" s="194" t="n">
        <v>28</v>
      </c>
      <c r="D130" s="194" t="n">
        <v>38</v>
      </c>
      <c r="E130" s="194" t="n">
        <v>3</v>
      </c>
      <c r="F130" s="194" t="n">
        <v>0</v>
      </c>
      <c r="G130" s="194" t="n">
        <v>86</v>
      </c>
      <c r="H130" s="194" t="n">
        <v>15</v>
      </c>
      <c r="I130" s="194" t="n">
        <v>171</v>
      </c>
    </row>
    <row r="131" customFormat="false" ht="15" hidden="false" customHeight="false" outlineLevel="0" collapsed="false">
      <c r="A131" s="188" t="s">
        <v>117</v>
      </c>
      <c r="B131" s="190" t="n">
        <v>0.0540540540540541</v>
      </c>
      <c r="C131" s="190" t="n">
        <v>0.027027027027027</v>
      </c>
      <c r="D131" s="190" t="n">
        <v>0.0540540540540541</v>
      </c>
      <c r="E131" s="190" t="n">
        <v>0.027027027027027</v>
      </c>
      <c r="F131" s="190" t="n">
        <v>0.027027027027027</v>
      </c>
      <c r="G131" s="190" t="n">
        <v>0.621621621621622</v>
      </c>
      <c r="H131" s="190" t="n">
        <v>0.189189189189189</v>
      </c>
      <c r="I131" s="190" t="n">
        <v>1</v>
      </c>
    </row>
    <row r="132" customFormat="false" ht="15" hidden="false" customHeight="false" outlineLevel="0" collapsed="false">
      <c r="A132" s="34" t="s">
        <v>118</v>
      </c>
      <c r="B132" s="206"/>
      <c r="C132" s="206"/>
      <c r="D132" s="206"/>
      <c r="E132" s="206"/>
      <c r="F132" s="206"/>
      <c r="G132" s="206"/>
      <c r="H132" s="206"/>
      <c r="I132" s="206"/>
    </row>
    <row r="134" customFormat="false" ht="15" hidden="false" customHeight="false" outlineLevel="0" collapsed="false">
      <c r="A134" s="35" t="s">
        <v>400</v>
      </c>
      <c r="B134" s="35"/>
      <c r="C134" s="35"/>
      <c r="D134" s="35"/>
      <c r="E134" s="35"/>
      <c r="F134" s="35"/>
      <c r="G134" s="35"/>
      <c r="H134" s="35"/>
      <c r="I134" s="35"/>
    </row>
    <row r="135" customFormat="false" ht="15" hidden="false" customHeight="false" outlineLevel="0" collapsed="false">
      <c r="A135" s="35" t="s">
        <v>1</v>
      </c>
      <c r="B135" s="37" t="s">
        <v>401</v>
      </c>
      <c r="C135" s="37"/>
      <c r="D135" s="37"/>
      <c r="E135" s="37"/>
      <c r="F135" s="37"/>
      <c r="G135" s="37"/>
      <c r="H135" s="37"/>
      <c r="I135" s="35"/>
    </row>
    <row r="136" customFormat="false" ht="25.5" hidden="false" customHeight="false" outlineLevel="0" collapsed="false">
      <c r="A136" s="39" t="s">
        <v>338</v>
      </c>
      <c r="B136" s="146" t="s">
        <v>402</v>
      </c>
      <c r="C136" s="39" t="s">
        <v>403</v>
      </c>
      <c r="D136" s="39" t="s">
        <v>404</v>
      </c>
      <c r="E136" s="39" t="s">
        <v>405</v>
      </c>
      <c r="F136" s="39" t="s">
        <v>406</v>
      </c>
      <c r="G136" s="146" t="s">
        <v>407</v>
      </c>
      <c r="H136" s="39" t="s">
        <v>376</v>
      </c>
      <c r="I136" s="39" t="s">
        <v>80</v>
      </c>
    </row>
    <row r="137" customFormat="false" ht="15" hidden="false" customHeight="false" outlineLevel="0" collapsed="false">
      <c r="A137" s="7" t="s">
        <v>81</v>
      </c>
      <c r="B137" s="7" t="n">
        <v>0</v>
      </c>
      <c r="C137" s="7" t="n">
        <v>0</v>
      </c>
      <c r="D137" s="7" t="n">
        <v>0</v>
      </c>
      <c r="E137" s="7" t="n">
        <v>3</v>
      </c>
      <c r="F137" s="7" t="n">
        <v>0</v>
      </c>
      <c r="G137" s="7" t="n">
        <v>0</v>
      </c>
      <c r="H137" s="7" t="n">
        <v>0</v>
      </c>
      <c r="I137" s="7" t="n">
        <v>3</v>
      </c>
    </row>
    <row r="138" customFormat="false" ht="15.75" hidden="false" customHeight="false" outlineLevel="0" collapsed="false">
      <c r="A138" s="7" t="s">
        <v>82</v>
      </c>
      <c r="B138" s="7" t="n">
        <v>2</v>
      </c>
      <c r="C138" s="7" t="n">
        <v>0</v>
      </c>
      <c r="D138" s="7" t="n">
        <v>0</v>
      </c>
      <c r="E138" s="7" t="n">
        <v>0</v>
      </c>
      <c r="F138" s="7" t="n">
        <v>0</v>
      </c>
      <c r="G138" s="7" t="n">
        <v>0</v>
      </c>
      <c r="H138" s="7" t="n">
        <v>1</v>
      </c>
      <c r="I138" s="7" t="n">
        <v>3</v>
      </c>
    </row>
    <row r="139" customFormat="false" ht="15" hidden="false" customHeight="false" outlineLevel="0" collapsed="false">
      <c r="A139" s="7" t="s">
        <v>83</v>
      </c>
      <c r="B139" s="7" t="n">
        <v>0</v>
      </c>
      <c r="C139" s="7" t="n">
        <v>0</v>
      </c>
      <c r="D139" s="7" t="n">
        <v>0</v>
      </c>
      <c r="E139" s="7" t="n">
        <v>0</v>
      </c>
      <c r="F139" s="7" t="n">
        <v>0</v>
      </c>
      <c r="G139" s="7" t="n">
        <v>0</v>
      </c>
      <c r="H139" s="7" t="n">
        <v>0</v>
      </c>
      <c r="I139" s="7" t="n">
        <v>0</v>
      </c>
      <c r="K139" s="211"/>
    </row>
    <row r="140" customFormat="false" ht="15.75" hidden="false" customHeight="false" outlineLevel="0" collapsed="false">
      <c r="A140" s="7" t="s">
        <v>84</v>
      </c>
      <c r="B140" s="7" t="n">
        <v>0</v>
      </c>
      <c r="C140" s="7" t="n">
        <v>0</v>
      </c>
      <c r="D140" s="7" t="n">
        <v>0</v>
      </c>
      <c r="E140" s="7" t="n">
        <v>1</v>
      </c>
      <c r="F140" s="7" t="n">
        <v>0</v>
      </c>
      <c r="G140" s="7" t="n">
        <v>0</v>
      </c>
      <c r="H140" s="7" t="n">
        <v>0</v>
      </c>
      <c r="I140" s="7" t="n">
        <v>1</v>
      </c>
      <c r="K140" s="212"/>
    </row>
    <row r="141" customFormat="false" ht="15" hidden="false" customHeight="false" outlineLevel="0" collapsed="false">
      <c r="A141" s="7" t="s">
        <v>85</v>
      </c>
      <c r="B141" s="7" t="n">
        <v>1</v>
      </c>
      <c r="C141" s="7" t="n">
        <v>0</v>
      </c>
      <c r="D141" s="7" t="n">
        <v>0</v>
      </c>
      <c r="E141" s="7" t="n">
        <v>3</v>
      </c>
      <c r="F141" s="7" t="n">
        <v>0</v>
      </c>
      <c r="G141" s="7" t="n">
        <v>0</v>
      </c>
      <c r="H141" s="7" t="n">
        <v>0</v>
      </c>
      <c r="I141" s="7" t="n">
        <v>4</v>
      </c>
    </row>
    <row r="142" customFormat="false" ht="15" hidden="false" customHeight="false" outlineLevel="0" collapsed="false">
      <c r="A142" s="7" t="s">
        <v>86</v>
      </c>
      <c r="B142" s="7" t="n">
        <v>0</v>
      </c>
      <c r="C142" s="7" t="n">
        <v>0</v>
      </c>
      <c r="D142" s="7" t="n">
        <v>1</v>
      </c>
      <c r="E142" s="7" t="n">
        <v>8</v>
      </c>
      <c r="F142" s="7" t="n">
        <v>3</v>
      </c>
      <c r="G142" s="7" t="n">
        <v>0</v>
      </c>
      <c r="H142" s="7" t="n">
        <v>2</v>
      </c>
      <c r="I142" s="7" t="n">
        <v>14</v>
      </c>
    </row>
    <row r="143" customFormat="false" ht="15" hidden="false" customHeight="false" outlineLevel="0" collapsed="false">
      <c r="A143" s="5" t="s">
        <v>342</v>
      </c>
      <c r="B143" s="7" t="n">
        <v>0</v>
      </c>
      <c r="C143" s="7" t="n">
        <v>0</v>
      </c>
      <c r="D143" s="7" t="n">
        <v>0</v>
      </c>
      <c r="E143" s="7" t="n">
        <v>2</v>
      </c>
      <c r="F143" s="7" t="n">
        <v>3</v>
      </c>
      <c r="G143" s="7" t="n">
        <v>11</v>
      </c>
      <c r="H143" s="7" t="n">
        <v>0</v>
      </c>
      <c r="I143" s="7" t="n">
        <v>16</v>
      </c>
    </row>
    <row r="144" customFormat="false" ht="15" hidden="false" customHeight="false" outlineLevel="0" collapsed="false">
      <c r="A144" s="5" t="s">
        <v>87</v>
      </c>
      <c r="B144" s="7" t="n">
        <v>16</v>
      </c>
      <c r="C144" s="7" t="n">
        <v>0</v>
      </c>
      <c r="D144" s="7" t="n">
        <v>0</v>
      </c>
      <c r="E144" s="7" t="n">
        <v>2</v>
      </c>
      <c r="F144" s="7" t="n">
        <v>0</v>
      </c>
      <c r="G144" s="7" t="n">
        <v>0</v>
      </c>
      <c r="H144" s="7" t="n">
        <v>2</v>
      </c>
      <c r="I144" s="7" t="n">
        <v>20</v>
      </c>
    </row>
    <row r="145" customFormat="false" ht="15" hidden="false" customHeight="false" outlineLevel="0" collapsed="false">
      <c r="A145" s="5" t="s">
        <v>90</v>
      </c>
      <c r="B145" s="7" t="n">
        <v>45</v>
      </c>
      <c r="C145" s="7" t="n">
        <v>2</v>
      </c>
      <c r="D145" s="7" t="n">
        <v>3</v>
      </c>
      <c r="E145" s="7" t="n">
        <v>15</v>
      </c>
      <c r="F145" s="7" t="n">
        <v>2</v>
      </c>
      <c r="G145" s="7" t="n">
        <v>2</v>
      </c>
      <c r="H145" s="7" t="n">
        <v>3</v>
      </c>
      <c r="I145" s="7" t="n">
        <v>72</v>
      </c>
    </row>
    <row r="146" customFormat="false" ht="15" hidden="false" customHeight="false" outlineLevel="0" collapsed="false">
      <c r="A146" s="5" t="s">
        <v>100</v>
      </c>
      <c r="B146" s="7" t="n">
        <v>22</v>
      </c>
      <c r="C146" s="7" t="n">
        <v>1</v>
      </c>
      <c r="D146" s="7" t="n">
        <v>5</v>
      </c>
      <c r="E146" s="7" t="n">
        <v>9</v>
      </c>
      <c r="F146" s="7" t="n">
        <v>1</v>
      </c>
      <c r="G146" s="7" t="n">
        <v>0</v>
      </c>
      <c r="H146" s="7" t="n">
        <v>0</v>
      </c>
      <c r="I146" s="7" t="n">
        <v>38</v>
      </c>
    </row>
    <row r="147" customFormat="false" ht="15" hidden="false" customHeight="false" outlineLevel="0" collapsed="false">
      <c r="A147" s="188" t="s">
        <v>12</v>
      </c>
      <c r="B147" s="189" t="n">
        <v>86</v>
      </c>
      <c r="C147" s="189" t="n">
        <v>3</v>
      </c>
      <c r="D147" s="189" t="n">
        <v>9</v>
      </c>
      <c r="E147" s="189" t="n">
        <v>43</v>
      </c>
      <c r="F147" s="189" t="n">
        <v>9</v>
      </c>
      <c r="G147" s="189" t="n">
        <v>13</v>
      </c>
      <c r="H147" s="189" t="n">
        <v>8</v>
      </c>
      <c r="I147" s="189" t="n">
        <v>171</v>
      </c>
    </row>
    <row r="148" customFormat="false" ht="15" hidden="false" customHeight="false" outlineLevel="0" collapsed="false">
      <c r="A148" s="188" t="s">
        <v>117</v>
      </c>
      <c r="B148" s="190" t="n">
        <v>0.502923976608187</v>
      </c>
      <c r="C148" s="190" t="n">
        <v>0.0175438596491228</v>
      </c>
      <c r="D148" s="190" t="n">
        <v>0.0526315789473684</v>
      </c>
      <c r="E148" s="190" t="n">
        <v>0.251461988304094</v>
      </c>
      <c r="F148" s="190" t="n">
        <v>0.0526315789473684</v>
      </c>
      <c r="G148" s="190" t="n">
        <v>0.0760233918128655</v>
      </c>
      <c r="H148" s="190" t="n">
        <v>0.0467836257309942</v>
      </c>
      <c r="I148" s="190" t="n">
        <v>1</v>
      </c>
    </row>
    <row r="149" customFormat="false" ht="15" hidden="false" customHeight="false" outlineLevel="0" collapsed="false">
      <c r="A149" s="34" t="s">
        <v>118</v>
      </c>
    </row>
  </sheetData>
  <mergeCells count="47">
    <mergeCell ref="A5:E5"/>
    <mergeCell ref="B6:D6"/>
    <mergeCell ref="A22:N22"/>
    <mergeCell ref="B23:L23"/>
    <mergeCell ref="A39:L39"/>
    <mergeCell ref="B40:J40"/>
    <mergeCell ref="B41:J41"/>
    <mergeCell ref="K41:K44"/>
    <mergeCell ref="L41:L44"/>
    <mergeCell ref="B43:B44"/>
    <mergeCell ref="C43:C44"/>
    <mergeCell ref="D43:D44"/>
    <mergeCell ref="E43:E44"/>
    <mergeCell ref="F43:F44"/>
    <mergeCell ref="G43:G44"/>
    <mergeCell ref="H43:H44"/>
    <mergeCell ref="I43:I44"/>
    <mergeCell ref="J43:J44"/>
    <mergeCell ref="A59:G59"/>
    <mergeCell ref="B60:F60"/>
    <mergeCell ref="A76:I76"/>
    <mergeCell ref="B77:H77"/>
    <mergeCell ref="A78:A79"/>
    <mergeCell ref="B78:G78"/>
    <mergeCell ref="H78:H79"/>
    <mergeCell ref="I78:I79"/>
    <mergeCell ref="A96:F96"/>
    <mergeCell ref="B97:E97"/>
    <mergeCell ref="A98:A99"/>
    <mergeCell ref="B98:B99"/>
    <mergeCell ref="C98:C99"/>
    <mergeCell ref="D98:D99"/>
    <mergeCell ref="E98:E99"/>
    <mergeCell ref="F98:F99"/>
    <mergeCell ref="A116:I116"/>
    <mergeCell ref="B117:H117"/>
    <mergeCell ref="A118:A119"/>
    <mergeCell ref="B118:B119"/>
    <mergeCell ref="C118:C119"/>
    <mergeCell ref="D118:D119"/>
    <mergeCell ref="E118:E119"/>
    <mergeCell ref="F118:F119"/>
    <mergeCell ref="G118:G119"/>
    <mergeCell ref="H118:H119"/>
    <mergeCell ref="I118:I119"/>
    <mergeCell ref="A134:I134"/>
    <mergeCell ref="B135:H13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1" activeCellId="0" sqref="H21"/>
    </sheetView>
  </sheetViews>
  <sheetFormatPr defaultRowHeight="15" outlineLevelRow="0" outlineLevelCol="0"/>
  <cols>
    <col collapsed="false" customWidth="true" hidden="false" outlineLevel="0" max="2" min="1" style="0" width="20.29"/>
    <col collapsed="false" customWidth="true" hidden="false" outlineLevel="0" max="1025" min="3" style="0" width="8.67"/>
  </cols>
  <sheetData>
    <row r="1" customFormat="false" ht="15" hidden="false" customHeight="false" outlineLevel="0" collapsed="false">
      <c r="A1" s="35" t="s">
        <v>408</v>
      </c>
      <c r="B1" s="35"/>
      <c r="C1" s="35"/>
      <c r="D1" s="35"/>
      <c r="E1" s="35"/>
    </row>
    <row r="2" customFormat="false" ht="15" hidden="false" customHeight="false" outlineLevel="0" collapsed="false">
      <c r="A2" s="35"/>
      <c r="B2" s="35"/>
      <c r="C2" s="35"/>
      <c r="D2" s="35"/>
      <c r="E2" s="35"/>
    </row>
    <row r="3" customFormat="false" ht="25.5" hidden="false" customHeight="false" outlineLevel="0" collapsed="false">
      <c r="A3" s="23" t="s">
        <v>2</v>
      </c>
      <c r="B3" s="23" t="s">
        <v>77</v>
      </c>
      <c r="C3" s="23" t="s">
        <v>78</v>
      </c>
      <c r="D3" s="23" t="s">
        <v>79</v>
      </c>
      <c r="E3" s="23" t="s">
        <v>80</v>
      </c>
    </row>
    <row r="4" customFormat="false" ht="15" hidden="false" customHeight="false" outlineLevel="0" collapsed="false">
      <c r="A4" s="24" t="s">
        <v>81</v>
      </c>
      <c r="B4" s="24" t="s">
        <v>18</v>
      </c>
      <c r="C4" s="25" t="n">
        <v>0</v>
      </c>
      <c r="D4" s="25" t="n">
        <v>0</v>
      </c>
      <c r="E4" s="25" t="n">
        <v>0</v>
      </c>
    </row>
    <row r="5" customFormat="false" ht="15" hidden="false" customHeight="false" outlineLevel="0" collapsed="false">
      <c r="A5" s="26"/>
      <c r="B5" s="24" t="s">
        <v>19</v>
      </c>
      <c r="C5" s="25" t="n">
        <v>4</v>
      </c>
      <c r="D5" s="25" t="n">
        <v>0</v>
      </c>
      <c r="E5" s="25" t="n">
        <v>4</v>
      </c>
    </row>
    <row r="6" customFormat="false" ht="15" hidden="false" customHeight="false" outlineLevel="0" collapsed="false">
      <c r="A6" s="26"/>
      <c r="B6" s="24" t="s">
        <v>20</v>
      </c>
      <c r="C6" s="25" t="n">
        <v>0</v>
      </c>
      <c r="D6" s="25" t="n">
        <v>0</v>
      </c>
      <c r="E6" s="25" t="n">
        <v>0</v>
      </c>
    </row>
    <row r="7" customFormat="false" ht="15" hidden="false" customHeight="false" outlineLevel="0" collapsed="false">
      <c r="A7" s="26"/>
      <c r="B7" s="24" t="s">
        <v>21</v>
      </c>
      <c r="C7" s="25" t="n">
        <v>1</v>
      </c>
      <c r="D7" s="25" t="n">
        <v>1</v>
      </c>
      <c r="E7" s="25" t="n">
        <v>2</v>
      </c>
    </row>
    <row r="8" customFormat="false" ht="15" hidden="false" customHeight="false" outlineLevel="0" collapsed="false">
      <c r="A8" s="27"/>
      <c r="B8" s="28" t="s">
        <v>22</v>
      </c>
      <c r="C8" s="27" t="n">
        <v>5</v>
      </c>
      <c r="D8" s="27" t="n">
        <v>1</v>
      </c>
      <c r="E8" s="27" t="n">
        <v>6</v>
      </c>
    </row>
    <row r="9" customFormat="false" ht="15" hidden="false" customHeight="false" outlineLevel="0" collapsed="false">
      <c r="A9" s="24" t="s">
        <v>82</v>
      </c>
      <c r="B9" s="24" t="s">
        <v>24</v>
      </c>
      <c r="C9" s="25" t="n">
        <v>0</v>
      </c>
      <c r="D9" s="25" t="n">
        <v>0</v>
      </c>
      <c r="E9" s="25" t="n">
        <v>0</v>
      </c>
    </row>
    <row r="10" customFormat="false" ht="15" hidden="false" customHeight="false" outlineLevel="0" collapsed="false">
      <c r="A10" s="29"/>
      <c r="B10" s="24" t="s">
        <v>25</v>
      </c>
      <c r="C10" s="25" t="n">
        <v>3</v>
      </c>
      <c r="D10" s="25" t="n">
        <v>0</v>
      </c>
      <c r="E10" s="25" t="n">
        <v>3</v>
      </c>
    </row>
    <row r="11" customFormat="false" ht="15" hidden="false" customHeight="false" outlineLevel="0" collapsed="false">
      <c r="A11" s="29"/>
      <c r="B11" s="24" t="s">
        <v>26</v>
      </c>
      <c r="C11" s="25" t="n">
        <v>1</v>
      </c>
      <c r="D11" s="25" t="n">
        <v>0</v>
      </c>
      <c r="E11" s="25" t="n">
        <v>1</v>
      </c>
    </row>
    <row r="12" customFormat="false" ht="15" hidden="false" customHeight="false" outlineLevel="0" collapsed="false">
      <c r="A12" s="29"/>
      <c r="B12" s="24" t="s">
        <v>27</v>
      </c>
      <c r="C12" s="25" t="n">
        <v>1</v>
      </c>
      <c r="D12" s="25" t="n">
        <v>1</v>
      </c>
      <c r="E12" s="25" t="n">
        <v>2</v>
      </c>
    </row>
    <row r="13" customFormat="false" ht="15" hidden="false" customHeight="false" outlineLevel="0" collapsed="false">
      <c r="A13" s="27"/>
      <c r="B13" s="28" t="s">
        <v>22</v>
      </c>
      <c r="C13" s="27" t="n">
        <v>5</v>
      </c>
      <c r="D13" s="27" t="n">
        <v>1</v>
      </c>
      <c r="E13" s="27" t="n">
        <v>6</v>
      </c>
    </row>
    <row r="14" customFormat="false" ht="15" hidden="false" customHeight="false" outlineLevel="0" collapsed="false">
      <c r="A14" s="24" t="s">
        <v>83</v>
      </c>
      <c r="B14" s="24" t="s">
        <v>29</v>
      </c>
      <c r="C14" s="25" t="n">
        <v>0</v>
      </c>
      <c r="D14" s="25" t="n">
        <v>0</v>
      </c>
      <c r="E14" s="25" t="n">
        <v>0</v>
      </c>
    </row>
    <row r="15" customFormat="false" ht="15" hidden="false" customHeight="false" outlineLevel="0" collapsed="false">
      <c r="A15" s="27"/>
      <c r="B15" s="28" t="s">
        <v>22</v>
      </c>
      <c r="C15" s="27" t="n">
        <v>0</v>
      </c>
      <c r="D15" s="27" t="n">
        <v>0</v>
      </c>
      <c r="E15" s="27" t="n">
        <v>0</v>
      </c>
    </row>
    <row r="16" customFormat="false" ht="15" hidden="false" customHeight="false" outlineLevel="0" collapsed="false">
      <c r="A16" s="24" t="s">
        <v>84</v>
      </c>
      <c r="B16" s="24" t="s">
        <v>31</v>
      </c>
      <c r="C16" s="25" t="n">
        <v>0</v>
      </c>
      <c r="D16" s="25" t="n">
        <v>0</v>
      </c>
      <c r="E16" s="25" t="n">
        <v>0</v>
      </c>
    </row>
    <row r="17" customFormat="false" ht="15" hidden="false" customHeight="false" outlineLevel="0" collapsed="false">
      <c r="A17" s="25"/>
      <c r="B17" s="24" t="s">
        <v>32</v>
      </c>
      <c r="C17" s="25" t="n">
        <v>1</v>
      </c>
      <c r="D17" s="25" t="n">
        <v>0</v>
      </c>
      <c r="E17" s="25" t="n">
        <v>1</v>
      </c>
    </row>
    <row r="18" customFormat="false" ht="15" hidden="false" customHeight="false" outlineLevel="0" collapsed="false">
      <c r="A18" s="25"/>
      <c r="B18" s="24" t="s">
        <v>33</v>
      </c>
      <c r="C18" s="25" t="n">
        <v>0</v>
      </c>
      <c r="D18" s="25" t="n">
        <v>0</v>
      </c>
      <c r="E18" s="25" t="n">
        <v>0</v>
      </c>
    </row>
    <row r="19" customFormat="false" ht="15" hidden="false" customHeight="false" outlineLevel="0" collapsed="false">
      <c r="A19" s="27"/>
      <c r="B19" s="28" t="s">
        <v>22</v>
      </c>
      <c r="C19" s="27" t="n">
        <v>1</v>
      </c>
      <c r="D19" s="27" t="n">
        <v>0</v>
      </c>
      <c r="E19" s="27" t="n">
        <v>1</v>
      </c>
    </row>
    <row r="20" customFormat="false" ht="15" hidden="false" customHeight="false" outlineLevel="0" collapsed="false">
      <c r="A20" s="24" t="s">
        <v>85</v>
      </c>
      <c r="B20" s="24" t="s">
        <v>35</v>
      </c>
      <c r="C20" s="25" t="n">
        <v>1</v>
      </c>
      <c r="D20" s="25" t="n">
        <v>2</v>
      </c>
      <c r="E20" s="25" t="n">
        <v>3</v>
      </c>
    </row>
    <row r="21" customFormat="false" ht="15" hidden="false" customHeight="false" outlineLevel="0" collapsed="false">
      <c r="A21" s="25"/>
      <c r="B21" s="24" t="s">
        <v>36</v>
      </c>
      <c r="C21" s="25" t="n">
        <v>2</v>
      </c>
      <c r="D21" s="25" t="n">
        <v>0</v>
      </c>
      <c r="E21" s="25" t="n">
        <v>2</v>
      </c>
    </row>
    <row r="22" customFormat="false" ht="15" hidden="false" customHeight="false" outlineLevel="0" collapsed="false">
      <c r="A22" s="25"/>
      <c r="B22" s="24" t="s">
        <v>37</v>
      </c>
      <c r="C22" s="25" t="n">
        <v>0</v>
      </c>
      <c r="D22" s="25" t="n">
        <v>1</v>
      </c>
      <c r="E22" s="25" t="n">
        <v>1</v>
      </c>
    </row>
    <row r="23" customFormat="false" ht="15" hidden="false" customHeight="false" outlineLevel="0" collapsed="false">
      <c r="A23" s="27"/>
      <c r="B23" s="28" t="s">
        <v>22</v>
      </c>
      <c r="C23" s="27" t="n">
        <v>3</v>
      </c>
      <c r="D23" s="27" t="n">
        <v>3</v>
      </c>
      <c r="E23" s="27" t="n">
        <v>6</v>
      </c>
    </row>
    <row r="24" customFormat="false" ht="15" hidden="false" customHeight="false" outlineLevel="0" collapsed="false">
      <c r="A24" s="24" t="s">
        <v>86</v>
      </c>
      <c r="B24" s="24" t="s">
        <v>39</v>
      </c>
      <c r="C24" s="25" t="n">
        <v>0</v>
      </c>
      <c r="D24" s="25" t="n">
        <v>0</v>
      </c>
      <c r="E24" s="25" t="n">
        <v>0</v>
      </c>
    </row>
    <row r="25" customFormat="false" ht="15" hidden="false" customHeight="false" outlineLevel="0" collapsed="false">
      <c r="A25" s="25"/>
      <c r="B25" s="24" t="s">
        <v>40</v>
      </c>
      <c r="C25" s="25" t="n">
        <v>2</v>
      </c>
      <c r="D25" s="25" t="n">
        <v>0</v>
      </c>
      <c r="E25" s="25" t="n">
        <v>2</v>
      </c>
    </row>
    <row r="26" customFormat="false" ht="15" hidden="false" customHeight="false" outlineLevel="0" collapsed="false">
      <c r="A26" s="25"/>
      <c r="B26" s="24" t="s">
        <v>41</v>
      </c>
      <c r="C26" s="25" t="n">
        <v>8</v>
      </c>
      <c r="D26" s="25" t="n">
        <v>8</v>
      </c>
      <c r="E26" s="25" t="n">
        <v>16</v>
      </c>
    </row>
    <row r="27" customFormat="false" ht="15" hidden="false" customHeight="false" outlineLevel="0" collapsed="false">
      <c r="A27" s="25"/>
      <c r="B27" s="24" t="s">
        <v>42</v>
      </c>
      <c r="C27" s="25" t="n">
        <v>2</v>
      </c>
      <c r="D27" s="25" t="n">
        <v>0</v>
      </c>
      <c r="E27" s="25" t="n">
        <v>2</v>
      </c>
    </row>
    <row r="28" customFormat="false" ht="15" hidden="false" customHeight="false" outlineLevel="0" collapsed="false">
      <c r="A28" s="27"/>
      <c r="B28" s="28" t="s">
        <v>22</v>
      </c>
      <c r="C28" s="27" t="n">
        <v>12</v>
      </c>
      <c r="D28" s="27" t="n">
        <v>8</v>
      </c>
      <c r="E28" s="27" t="n">
        <v>20</v>
      </c>
    </row>
    <row r="29" customFormat="false" ht="15" hidden="false" customHeight="false" outlineLevel="0" collapsed="false">
      <c r="A29" s="24" t="s">
        <v>87</v>
      </c>
      <c r="B29" s="24" t="s">
        <v>44</v>
      </c>
      <c r="C29" s="25" t="n">
        <v>19</v>
      </c>
      <c r="D29" s="25" t="n">
        <v>0</v>
      </c>
      <c r="E29" s="25" t="n">
        <v>19</v>
      </c>
    </row>
    <row r="30" customFormat="false" ht="15" hidden="false" customHeight="false" outlineLevel="0" collapsed="false">
      <c r="A30" s="25"/>
      <c r="B30" s="24" t="s">
        <v>45</v>
      </c>
      <c r="C30" s="25" t="n">
        <v>1</v>
      </c>
      <c r="D30" s="25" t="n">
        <v>0</v>
      </c>
      <c r="E30" s="25" t="n">
        <v>1</v>
      </c>
    </row>
    <row r="31" customFormat="false" ht="15" hidden="false" customHeight="false" outlineLevel="0" collapsed="false">
      <c r="A31" s="25"/>
      <c r="B31" s="24" t="s">
        <v>46</v>
      </c>
      <c r="C31" s="25" t="n">
        <v>38</v>
      </c>
      <c r="D31" s="25" t="n">
        <v>19</v>
      </c>
      <c r="E31" s="25" t="n">
        <v>57</v>
      </c>
    </row>
    <row r="32" customFormat="false" ht="15" hidden="false" customHeight="false" outlineLevel="0" collapsed="false">
      <c r="A32" s="27"/>
      <c r="B32" s="28" t="s">
        <v>22</v>
      </c>
      <c r="C32" s="27" t="n">
        <v>58</v>
      </c>
      <c r="D32" s="27" t="n">
        <v>19</v>
      </c>
      <c r="E32" s="27" t="n">
        <v>77</v>
      </c>
    </row>
    <row r="33" customFormat="false" ht="15" hidden="false" customHeight="false" outlineLevel="0" collapsed="false">
      <c r="A33" s="24" t="s">
        <v>90</v>
      </c>
      <c r="B33" s="24" t="s">
        <v>91</v>
      </c>
      <c r="C33" s="25" t="n">
        <v>0</v>
      </c>
      <c r="D33" s="25" t="n">
        <v>0</v>
      </c>
      <c r="E33" s="25" t="n">
        <v>0</v>
      </c>
    </row>
    <row r="34" customFormat="false" ht="15" hidden="false" customHeight="false" outlineLevel="0" collapsed="false">
      <c r="A34" s="25"/>
      <c r="B34" s="24" t="s">
        <v>92</v>
      </c>
      <c r="C34" s="25" t="n">
        <v>18</v>
      </c>
      <c r="D34" s="25" t="n">
        <v>6</v>
      </c>
      <c r="E34" s="25" t="n">
        <v>24</v>
      </c>
    </row>
    <row r="35" customFormat="false" ht="15" hidden="false" customHeight="false" outlineLevel="0" collapsed="false">
      <c r="A35" s="25"/>
      <c r="B35" s="24" t="s">
        <v>93</v>
      </c>
      <c r="C35" s="25" t="n">
        <v>0</v>
      </c>
      <c r="D35" s="25" t="n">
        <v>0</v>
      </c>
      <c r="E35" s="25" t="n">
        <v>0</v>
      </c>
    </row>
    <row r="36" customFormat="false" ht="15" hidden="false" customHeight="false" outlineLevel="0" collapsed="false">
      <c r="A36" s="25"/>
      <c r="B36" s="24" t="s">
        <v>94</v>
      </c>
      <c r="C36" s="25" t="n">
        <v>15</v>
      </c>
      <c r="D36" s="25" t="n">
        <v>5</v>
      </c>
      <c r="E36" s="25" t="n">
        <v>20</v>
      </c>
    </row>
    <row r="37" customFormat="false" ht="15" hidden="false" customHeight="false" outlineLevel="0" collapsed="false">
      <c r="A37" s="25"/>
      <c r="B37" s="24" t="s">
        <v>95</v>
      </c>
      <c r="C37" s="25" t="n">
        <v>16</v>
      </c>
      <c r="D37" s="25" t="n">
        <v>9</v>
      </c>
      <c r="E37" s="25" t="n">
        <v>25</v>
      </c>
    </row>
    <row r="38" customFormat="false" ht="15" hidden="false" customHeight="false" outlineLevel="0" collapsed="false">
      <c r="A38" s="25"/>
      <c r="B38" s="24" t="s">
        <v>96</v>
      </c>
      <c r="C38" s="25" t="n">
        <v>20</v>
      </c>
      <c r="D38" s="25" t="n">
        <v>9</v>
      </c>
      <c r="E38" s="25" t="n">
        <v>29</v>
      </c>
    </row>
    <row r="39" customFormat="false" ht="15" hidden="false" customHeight="false" outlineLevel="0" collapsed="false">
      <c r="A39" s="25"/>
      <c r="B39" s="24" t="s">
        <v>97</v>
      </c>
      <c r="C39" s="25" t="n">
        <v>12</v>
      </c>
      <c r="D39" s="25" t="n">
        <v>0</v>
      </c>
      <c r="E39" s="25" t="n">
        <v>12</v>
      </c>
    </row>
    <row r="40" customFormat="false" ht="15" hidden="false" customHeight="false" outlineLevel="0" collapsed="false">
      <c r="A40" s="25"/>
      <c r="B40" s="24" t="s">
        <v>98</v>
      </c>
      <c r="C40" s="25" t="n">
        <v>0</v>
      </c>
      <c r="D40" s="25" t="n">
        <v>0</v>
      </c>
      <c r="E40" s="25" t="n">
        <v>0</v>
      </c>
    </row>
    <row r="41" customFormat="false" ht="15" hidden="false" customHeight="false" outlineLevel="0" collapsed="false">
      <c r="A41" s="25"/>
      <c r="B41" s="24" t="s">
        <v>99</v>
      </c>
      <c r="C41" s="25" t="n">
        <v>4</v>
      </c>
      <c r="D41" s="25" t="n">
        <v>3</v>
      </c>
      <c r="E41" s="25" t="n">
        <v>7</v>
      </c>
    </row>
    <row r="42" customFormat="false" ht="15" hidden="false" customHeight="false" outlineLevel="0" collapsed="false">
      <c r="A42" s="27"/>
      <c r="B42" s="28" t="s">
        <v>22</v>
      </c>
      <c r="C42" s="27" t="n">
        <v>85</v>
      </c>
      <c r="D42" s="27" t="n">
        <v>32</v>
      </c>
      <c r="E42" s="27" t="n">
        <v>117</v>
      </c>
    </row>
    <row r="43" customFormat="false" ht="15" hidden="false" customHeight="false" outlineLevel="0" collapsed="false">
      <c r="A43" s="24" t="s">
        <v>100</v>
      </c>
      <c r="B43" s="24" t="s">
        <v>101</v>
      </c>
      <c r="C43" s="25" t="n">
        <v>24</v>
      </c>
      <c r="D43" s="25" t="n">
        <v>11</v>
      </c>
      <c r="E43" s="25" t="n">
        <v>35</v>
      </c>
    </row>
    <row r="44" customFormat="false" ht="15" hidden="false" customHeight="false" outlineLevel="0" collapsed="false">
      <c r="A44" s="25"/>
      <c r="B44" s="24" t="s">
        <v>102</v>
      </c>
      <c r="C44" s="25" t="n">
        <v>0</v>
      </c>
      <c r="D44" s="25" t="n">
        <v>0</v>
      </c>
      <c r="E44" s="25" t="n">
        <v>0</v>
      </c>
    </row>
    <row r="45" customFormat="false" ht="15" hidden="false" customHeight="false" outlineLevel="0" collapsed="false">
      <c r="A45" s="25"/>
      <c r="B45" s="24" t="s">
        <v>103</v>
      </c>
      <c r="C45" s="25" t="n">
        <v>1</v>
      </c>
      <c r="D45" s="25" t="n">
        <v>0</v>
      </c>
      <c r="E45" s="25" t="n">
        <v>1</v>
      </c>
    </row>
    <row r="46" customFormat="false" ht="15" hidden="false" customHeight="false" outlineLevel="0" collapsed="false">
      <c r="A46" s="25"/>
      <c r="B46" s="24" t="s">
        <v>104</v>
      </c>
      <c r="C46" s="25" t="n">
        <v>0</v>
      </c>
      <c r="D46" s="25" t="n">
        <v>0</v>
      </c>
      <c r="E46" s="25" t="n">
        <v>0</v>
      </c>
    </row>
    <row r="47" customFormat="false" ht="15" hidden="false" customHeight="false" outlineLevel="0" collapsed="false">
      <c r="A47" s="25"/>
      <c r="B47" s="24" t="s">
        <v>105</v>
      </c>
      <c r="C47" s="25" t="n">
        <v>0</v>
      </c>
      <c r="D47" s="25" t="n">
        <v>0</v>
      </c>
      <c r="E47" s="25" t="n">
        <v>0</v>
      </c>
    </row>
    <row r="48" customFormat="false" ht="15" hidden="false" customHeight="false" outlineLevel="0" collapsed="false">
      <c r="A48" s="25"/>
      <c r="B48" s="24" t="s">
        <v>106</v>
      </c>
      <c r="C48" s="25" t="n">
        <v>0</v>
      </c>
      <c r="D48" s="25" t="n">
        <v>0</v>
      </c>
      <c r="E48" s="25" t="n">
        <v>0</v>
      </c>
    </row>
    <row r="49" customFormat="false" ht="15" hidden="false" customHeight="false" outlineLevel="0" collapsed="false">
      <c r="A49" s="25"/>
      <c r="B49" s="24" t="s">
        <v>107</v>
      </c>
      <c r="C49" s="25" t="n">
        <v>0</v>
      </c>
      <c r="D49" s="25" t="n">
        <v>0</v>
      </c>
      <c r="E49" s="25" t="n">
        <v>0</v>
      </c>
    </row>
    <row r="50" customFormat="false" ht="15" hidden="false" customHeight="false" outlineLevel="0" collapsed="false">
      <c r="A50" s="25"/>
      <c r="B50" s="24" t="s">
        <v>108</v>
      </c>
      <c r="C50" s="25" t="n">
        <v>2</v>
      </c>
      <c r="D50" s="25" t="n">
        <v>1</v>
      </c>
      <c r="E50" s="25" t="n">
        <v>3</v>
      </c>
    </row>
    <row r="51" customFormat="false" ht="15" hidden="false" customHeight="false" outlineLevel="0" collapsed="false">
      <c r="A51" s="25"/>
      <c r="B51" s="24" t="s">
        <v>109</v>
      </c>
      <c r="C51" s="25" t="n">
        <v>12</v>
      </c>
      <c r="D51" s="25" t="n">
        <v>15</v>
      </c>
      <c r="E51" s="25" t="n">
        <v>27</v>
      </c>
    </row>
    <row r="52" customFormat="false" ht="15" hidden="false" customHeight="false" outlineLevel="0" collapsed="false">
      <c r="A52" s="25"/>
      <c r="B52" s="24" t="s">
        <v>110</v>
      </c>
      <c r="C52" s="25" t="n">
        <v>5</v>
      </c>
      <c r="D52" s="25" t="n">
        <v>3</v>
      </c>
      <c r="E52" s="25" t="n">
        <v>8</v>
      </c>
    </row>
    <row r="53" customFormat="false" ht="15" hidden="false" customHeight="false" outlineLevel="0" collapsed="false">
      <c r="A53" s="25"/>
      <c r="B53" s="24" t="s">
        <v>111</v>
      </c>
      <c r="C53" s="25" t="n">
        <v>0</v>
      </c>
      <c r="D53" s="25" t="n">
        <v>0</v>
      </c>
      <c r="E53" s="25" t="n">
        <v>0</v>
      </c>
    </row>
    <row r="54" customFormat="false" ht="15" hidden="false" customHeight="false" outlineLevel="0" collapsed="false">
      <c r="A54" s="25"/>
      <c r="B54" s="24" t="s">
        <v>112</v>
      </c>
      <c r="C54" s="25" t="n">
        <v>0</v>
      </c>
      <c r="D54" s="25" t="n">
        <v>0</v>
      </c>
      <c r="E54" s="25" t="n">
        <v>0</v>
      </c>
    </row>
    <row r="55" customFormat="false" ht="15" hidden="false" customHeight="false" outlineLevel="0" collapsed="false">
      <c r="A55" s="25"/>
      <c r="B55" s="24" t="s">
        <v>113</v>
      </c>
      <c r="C55" s="25" t="n">
        <v>0</v>
      </c>
      <c r="D55" s="25" t="n">
        <v>0</v>
      </c>
      <c r="E55" s="25" t="n">
        <v>0</v>
      </c>
    </row>
    <row r="56" customFormat="false" ht="15" hidden="false" customHeight="false" outlineLevel="0" collapsed="false">
      <c r="A56" s="25"/>
      <c r="B56" s="24" t="s">
        <v>114</v>
      </c>
      <c r="C56" s="25" t="n">
        <v>0</v>
      </c>
      <c r="D56" s="25" t="n">
        <v>0</v>
      </c>
      <c r="E56" s="25" t="n">
        <v>0</v>
      </c>
    </row>
    <row r="57" customFormat="false" ht="15" hidden="false" customHeight="false" outlineLevel="0" collapsed="false">
      <c r="A57" s="25"/>
      <c r="B57" s="24" t="s">
        <v>115</v>
      </c>
      <c r="C57" s="25" t="n">
        <v>9</v>
      </c>
      <c r="D57" s="25" t="n">
        <v>5</v>
      </c>
      <c r="E57" s="25" t="n">
        <v>14</v>
      </c>
    </row>
    <row r="58" customFormat="false" ht="15" hidden="false" customHeight="false" outlineLevel="0" collapsed="false">
      <c r="A58" s="25"/>
      <c r="B58" s="24" t="s">
        <v>116</v>
      </c>
      <c r="C58" s="25" t="n">
        <v>1</v>
      </c>
      <c r="D58" s="25" t="n">
        <v>0</v>
      </c>
      <c r="E58" s="25" t="n">
        <v>1</v>
      </c>
    </row>
    <row r="59" customFormat="false" ht="15" hidden="false" customHeight="false" outlineLevel="0" collapsed="false">
      <c r="A59" s="27"/>
      <c r="B59" s="28" t="s">
        <v>22</v>
      </c>
      <c r="C59" s="27" t="n">
        <v>54</v>
      </c>
      <c r="D59" s="27" t="n">
        <v>35</v>
      </c>
      <c r="E59" s="27" t="n">
        <v>89</v>
      </c>
    </row>
    <row r="60" customFormat="false" ht="15" hidden="false" customHeight="false" outlineLevel="0" collapsed="false">
      <c r="A60" s="30"/>
      <c r="B60" s="30" t="s">
        <v>74</v>
      </c>
      <c r="C60" s="31" t="n">
        <v>223</v>
      </c>
      <c r="D60" s="31" t="n">
        <v>99</v>
      </c>
      <c r="E60" s="31" t="n">
        <v>322</v>
      </c>
    </row>
    <row r="61" customFormat="false" ht="15" hidden="false" customHeight="false" outlineLevel="0" collapsed="false">
      <c r="A61" s="32"/>
      <c r="B61" s="32" t="s">
        <v>117</v>
      </c>
      <c r="C61" s="33" t="n">
        <v>0.692546583850932</v>
      </c>
      <c r="D61" s="33" t="n">
        <v>0.307453416149068</v>
      </c>
      <c r="E61" s="33" t="n">
        <v>1</v>
      </c>
    </row>
    <row r="62" customFormat="false" ht="15" hidden="false" customHeight="false" outlineLevel="0" collapsed="false">
      <c r="A62" s="34" t="s">
        <v>118</v>
      </c>
    </row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16.14"/>
    <col collapsed="false" customWidth="true" hidden="false" outlineLevel="0" max="3" min="3" style="0" width="16.57"/>
    <col collapsed="false" customWidth="true" hidden="false" outlineLevel="0" max="4" min="4" style="0" width="16.86"/>
    <col collapsed="false" customWidth="true" hidden="false" outlineLevel="0" max="5" min="5" style="0" width="12.57"/>
    <col collapsed="false" customWidth="true" hidden="false" outlineLevel="0" max="6" min="6" style="0" width="12.14"/>
    <col collapsed="false" customWidth="true" hidden="false" outlineLevel="0" max="7" min="7" style="0" width="13.01"/>
    <col collapsed="false" customWidth="true" hidden="false" outlineLevel="0" max="1025" min="8" style="0" width="8.67"/>
  </cols>
  <sheetData>
    <row r="1" customFormat="false" ht="15" hidden="false" customHeight="false" outlineLevel="0" collapsed="false">
      <c r="A1" s="35" t="s">
        <v>409</v>
      </c>
      <c r="B1" s="35"/>
      <c r="C1" s="35"/>
      <c r="D1" s="35"/>
      <c r="E1" s="35"/>
      <c r="F1" s="35"/>
      <c r="G1" s="35"/>
      <c r="H1" s="35"/>
    </row>
    <row r="2" customFormat="false" ht="15" hidden="false" customHeight="false" outlineLevel="0" collapsed="false">
      <c r="A2" s="36"/>
      <c r="B2" s="36" t="s">
        <v>1</v>
      </c>
      <c r="C2" s="37" t="s">
        <v>410</v>
      </c>
      <c r="D2" s="37"/>
      <c r="E2" s="37"/>
      <c r="F2" s="37"/>
      <c r="G2" s="37"/>
      <c r="H2" s="36"/>
    </row>
    <row r="3" customFormat="false" ht="15" hidden="false" customHeight="true" outlineLevel="0" collapsed="false">
      <c r="A3" s="39" t="s">
        <v>2</v>
      </c>
      <c r="B3" s="39" t="s">
        <v>77</v>
      </c>
      <c r="C3" s="39" t="s">
        <v>411</v>
      </c>
      <c r="D3" s="39" t="s">
        <v>412</v>
      </c>
      <c r="E3" s="39" t="s">
        <v>413</v>
      </c>
      <c r="F3" s="39" t="s">
        <v>414</v>
      </c>
      <c r="G3" s="39" t="s">
        <v>415</v>
      </c>
      <c r="H3" s="39" t="s">
        <v>416</v>
      </c>
    </row>
    <row r="4" customFormat="false" ht="15" hidden="false" customHeight="false" outlineLevel="0" collapsed="false">
      <c r="A4" s="39"/>
      <c r="B4" s="39"/>
      <c r="C4" s="39"/>
      <c r="D4" s="39"/>
      <c r="E4" s="39"/>
      <c r="F4" s="39"/>
      <c r="G4" s="39"/>
      <c r="H4" s="39"/>
    </row>
    <row r="5" customFormat="false" ht="15" hidden="false" customHeight="false" outlineLevel="0" collapsed="false">
      <c r="A5" s="24" t="s">
        <v>81</v>
      </c>
      <c r="B5" s="24" t="s">
        <v>18</v>
      </c>
      <c r="C5" s="213" t="n">
        <v>0</v>
      </c>
      <c r="D5" s="213" t="n">
        <v>0</v>
      </c>
      <c r="E5" s="213" t="n">
        <v>0</v>
      </c>
      <c r="F5" s="213" t="n">
        <v>0</v>
      </c>
      <c r="G5" s="213" t="n">
        <v>0</v>
      </c>
      <c r="H5" s="25" t="n">
        <f aca="false">SUM(C5:G5)</f>
        <v>0</v>
      </c>
    </row>
    <row r="6" customFormat="false" ht="15" hidden="false" customHeight="false" outlineLevel="0" collapsed="false">
      <c r="A6" s="26"/>
      <c r="B6" s="24" t="s">
        <v>19</v>
      </c>
      <c r="C6" s="213" t="n">
        <v>0</v>
      </c>
      <c r="D6" s="213" t="n">
        <v>0</v>
      </c>
      <c r="E6" s="213" t="n">
        <v>0</v>
      </c>
      <c r="F6" s="213" t="n">
        <v>0</v>
      </c>
      <c r="G6" s="213" t="n">
        <v>0</v>
      </c>
      <c r="H6" s="25" t="n">
        <f aca="false">SUM(C6:G6)</f>
        <v>0</v>
      </c>
    </row>
    <row r="7" customFormat="false" ht="15" hidden="false" customHeight="false" outlineLevel="0" collapsed="false">
      <c r="A7" s="26"/>
      <c r="B7" s="24" t="s">
        <v>20</v>
      </c>
      <c r="C7" s="213" t="n">
        <v>0</v>
      </c>
      <c r="D7" s="213" t="n">
        <v>0</v>
      </c>
      <c r="E7" s="213" t="n">
        <v>0</v>
      </c>
      <c r="F7" s="213" t="n">
        <v>0</v>
      </c>
      <c r="G7" s="213" t="n">
        <v>0</v>
      </c>
      <c r="H7" s="25" t="n">
        <f aca="false">SUM(C7:G7)</f>
        <v>0</v>
      </c>
    </row>
    <row r="8" customFormat="false" ht="15" hidden="false" customHeight="false" outlineLevel="0" collapsed="false">
      <c r="A8" s="26"/>
      <c r="B8" s="24" t="s">
        <v>21</v>
      </c>
      <c r="C8" s="213" t="n">
        <v>0</v>
      </c>
      <c r="D8" s="213" t="n">
        <v>0</v>
      </c>
      <c r="E8" s="213" t="n">
        <v>0</v>
      </c>
      <c r="F8" s="213" t="n">
        <v>0</v>
      </c>
      <c r="G8" s="213" t="n">
        <v>0</v>
      </c>
      <c r="H8" s="25" t="n">
        <f aca="false">SUM(C8:G8)</f>
        <v>0</v>
      </c>
    </row>
    <row r="9" customFormat="false" ht="15" hidden="false" customHeight="false" outlineLevel="0" collapsed="false">
      <c r="A9" s="27"/>
      <c r="B9" s="28" t="s">
        <v>22</v>
      </c>
      <c r="C9" s="27" t="n">
        <f aca="false">SUM(C5:C8)</f>
        <v>0</v>
      </c>
      <c r="D9" s="27" t="n">
        <f aca="false">SUM(D5:D8)</f>
        <v>0</v>
      </c>
      <c r="E9" s="27" t="n">
        <f aca="false">SUM(E5:E8)</f>
        <v>0</v>
      </c>
      <c r="F9" s="27" t="n">
        <f aca="false">SUM(F5:F8)</f>
        <v>0</v>
      </c>
      <c r="G9" s="27" t="n">
        <f aca="false">SUM(G5:G8)</f>
        <v>0</v>
      </c>
      <c r="H9" s="27" t="n">
        <f aca="false">SUM(H5:H8)</f>
        <v>0</v>
      </c>
    </row>
    <row r="10" customFormat="false" ht="15" hidden="false" customHeight="false" outlineLevel="0" collapsed="false">
      <c r="A10" s="24" t="s">
        <v>82</v>
      </c>
      <c r="B10" s="24" t="s">
        <v>24</v>
      </c>
      <c r="C10" s="213" t="n">
        <v>0</v>
      </c>
      <c r="D10" s="213" t="n">
        <v>0</v>
      </c>
      <c r="E10" s="213" t="n">
        <v>0</v>
      </c>
      <c r="F10" s="213" t="n">
        <v>0</v>
      </c>
      <c r="G10" s="213" t="n">
        <v>0</v>
      </c>
      <c r="H10" s="25" t="n">
        <f aca="false">SUM(C10:G10)</f>
        <v>0</v>
      </c>
    </row>
    <row r="11" customFormat="false" ht="15" hidden="false" customHeight="false" outlineLevel="0" collapsed="false">
      <c r="A11" s="29"/>
      <c r="B11" s="24" t="s">
        <v>25</v>
      </c>
      <c r="C11" s="213" t="n">
        <v>0</v>
      </c>
      <c r="D11" s="213" t="n">
        <v>0</v>
      </c>
      <c r="E11" s="213" t="n">
        <v>0</v>
      </c>
      <c r="F11" s="213" t="n">
        <v>0</v>
      </c>
      <c r="G11" s="213" t="n">
        <v>0</v>
      </c>
      <c r="H11" s="25" t="n">
        <f aca="false">SUM(C11:G11)</f>
        <v>0</v>
      </c>
    </row>
    <row r="12" customFormat="false" ht="15" hidden="false" customHeight="false" outlineLevel="0" collapsed="false">
      <c r="A12" s="29"/>
      <c r="B12" s="24" t="s">
        <v>26</v>
      </c>
      <c r="C12" s="213" t="n">
        <v>0</v>
      </c>
      <c r="D12" s="213" t="n">
        <v>0</v>
      </c>
      <c r="E12" s="213" t="n">
        <v>0</v>
      </c>
      <c r="F12" s="213" t="n">
        <v>0</v>
      </c>
      <c r="G12" s="213" t="n">
        <v>0</v>
      </c>
      <c r="H12" s="25" t="n">
        <f aca="false">SUM(C12:G12)</f>
        <v>0</v>
      </c>
    </row>
    <row r="13" customFormat="false" ht="15" hidden="false" customHeight="false" outlineLevel="0" collapsed="false">
      <c r="A13" s="29"/>
      <c r="B13" s="24" t="s">
        <v>27</v>
      </c>
      <c r="C13" s="213" t="n">
        <v>0</v>
      </c>
      <c r="D13" s="213" t="n">
        <v>0</v>
      </c>
      <c r="E13" s="213" t="n">
        <v>0</v>
      </c>
      <c r="F13" s="213" t="n">
        <v>0</v>
      </c>
      <c r="G13" s="213" t="n">
        <v>0</v>
      </c>
      <c r="H13" s="25" t="n">
        <f aca="false">SUM(C13:G13)</f>
        <v>0</v>
      </c>
    </row>
    <row r="14" customFormat="false" ht="15" hidden="false" customHeight="false" outlineLevel="0" collapsed="false">
      <c r="A14" s="27"/>
      <c r="B14" s="28" t="s">
        <v>22</v>
      </c>
      <c r="C14" s="27" t="n">
        <f aca="false">SUM(C10:C13)</f>
        <v>0</v>
      </c>
      <c r="D14" s="27" t="n">
        <f aca="false">SUM(D10:D13)</f>
        <v>0</v>
      </c>
      <c r="E14" s="27" t="n">
        <f aca="false">SUM(E10:E13)</f>
        <v>0</v>
      </c>
      <c r="F14" s="27" t="n">
        <f aca="false">SUM(F10:F13)</f>
        <v>0</v>
      </c>
      <c r="G14" s="27" t="n">
        <f aca="false">SUM(G10:G13)</f>
        <v>0</v>
      </c>
      <c r="H14" s="27" t="n">
        <f aca="false">SUM(H10:H13)</f>
        <v>0</v>
      </c>
    </row>
    <row r="15" customFormat="false" ht="15" hidden="false" customHeight="false" outlineLevel="0" collapsed="false">
      <c r="A15" s="24" t="s">
        <v>83</v>
      </c>
      <c r="B15" s="24" t="s">
        <v>29</v>
      </c>
      <c r="C15" s="213" t="n">
        <v>0</v>
      </c>
      <c r="D15" s="213" t="n">
        <v>0</v>
      </c>
      <c r="E15" s="213" t="n">
        <v>0</v>
      </c>
      <c r="F15" s="213" t="n">
        <v>0</v>
      </c>
      <c r="G15" s="213" t="n">
        <v>0</v>
      </c>
      <c r="H15" s="25" t="n">
        <f aca="false">SUM(C15:G15)</f>
        <v>0</v>
      </c>
    </row>
    <row r="16" customFormat="false" ht="15" hidden="false" customHeight="false" outlineLevel="0" collapsed="false">
      <c r="A16" s="27"/>
      <c r="B16" s="28" t="s">
        <v>22</v>
      </c>
      <c r="C16" s="27" t="n">
        <f aca="false">SUM(C15)</f>
        <v>0</v>
      </c>
      <c r="D16" s="27" t="n">
        <f aca="false">SUM(D15)</f>
        <v>0</v>
      </c>
      <c r="E16" s="27" t="n">
        <f aca="false">SUM(E15)</f>
        <v>0</v>
      </c>
      <c r="F16" s="27" t="n">
        <f aca="false">SUM(F15)</f>
        <v>0</v>
      </c>
      <c r="G16" s="27" t="n">
        <f aca="false">SUM(G15)</f>
        <v>0</v>
      </c>
      <c r="H16" s="27" t="n">
        <f aca="false">SUM(H15)</f>
        <v>0</v>
      </c>
    </row>
    <row r="17" customFormat="false" ht="15" hidden="false" customHeight="false" outlineLevel="0" collapsed="false">
      <c r="A17" s="24" t="s">
        <v>84</v>
      </c>
      <c r="B17" s="24" t="s">
        <v>31</v>
      </c>
      <c r="C17" s="213" t="n">
        <v>0</v>
      </c>
      <c r="D17" s="213" t="n">
        <v>0</v>
      </c>
      <c r="E17" s="213" t="n">
        <v>0</v>
      </c>
      <c r="F17" s="213" t="n">
        <v>0</v>
      </c>
      <c r="G17" s="213" t="n">
        <v>0</v>
      </c>
      <c r="H17" s="25" t="n">
        <f aca="false">SUM(C17:G17)</f>
        <v>0</v>
      </c>
    </row>
    <row r="18" customFormat="false" ht="15" hidden="false" customHeight="false" outlineLevel="0" collapsed="false">
      <c r="A18" s="25"/>
      <c r="B18" s="24" t="s">
        <v>32</v>
      </c>
      <c r="C18" s="213" t="n">
        <v>0</v>
      </c>
      <c r="D18" s="213" t="n">
        <v>0</v>
      </c>
      <c r="E18" s="213" t="n">
        <v>0</v>
      </c>
      <c r="F18" s="213" t="n">
        <v>0</v>
      </c>
      <c r="G18" s="213" t="n">
        <v>0</v>
      </c>
      <c r="H18" s="25" t="n">
        <f aca="false">SUM(C18:G18)</f>
        <v>0</v>
      </c>
    </row>
    <row r="19" customFormat="false" ht="15" hidden="false" customHeight="false" outlineLevel="0" collapsed="false">
      <c r="A19" s="25"/>
      <c r="B19" s="24" t="s">
        <v>33</v>
      </c>
      <c r="C19" s="213" t="n">
        <v>0</v>
      </c>
      <c r="D19" s="213" t="n">
        <v>0</v>
      </c>
      <c r="E19" s="213" t="n">
        <v>0</v>
      </c>
      <c r="F19" s="213" t="n">
        <v>0</v>
      </c>
      <c r="G19" s="213" t="n">
        <v>0</v>
      </c>
      <c r="H19" s="25" t="n">
        <f aca="false">SUM(C19:G19)</f>
        <v>0</v>
      </c>
    </row>
    <row r="20" customFormat="false" ht="15" hidden="false" customHeight="false" outlineLevel="0" collapsed="false">
      <c r="A20" s="27"/>
      <c r="B20" s="28" t="s">
        <v>22</v>
      </c>
      <c r="C20" s="27" t="n">
        <f aca="false">SUM(C17:C19)</f>
        <v>0</v>
      </c>
      <c r="D20" s="27" t="n">
        <f aca="false">SUM(D17:D19)</f>
        <v>0</v>
      </c>
      <c r="E20" s="27" t="n">
        <f aca="false">SUM(E17:E19)</f>
        <v>0</v>
      </c>
      <c r="F20" s="27" t="n">
        <f aca="false">SUM(F17:F19)</f>
        <v>0</v>
      </c>
      <c r="G20" s="27" t="n">
        <f aca="false">SUM(G17:G19)</f>
        <v>0</v>
      </c>
      <c r="H20" s="27" t="n">
        <f aca="false">SUM(H17:H19)</f>
        <v>0</v>
      </c>
    </row>
    <row r="21" customFormat="false" ht="15" hidden="false" customHeight="false" outlineLevel="0" collapsed="false">
      <c r="A21" s="24" t="s">
        <v>85</v>
      </c>
      <c r="B21" s="24" t="s">
        <v>35</v>
      </c>
      <c r="C21" s="213" t="n">
        <v>0</v>
      </c>
      <c r="D21" s="213" t="n">
        <v>0</v>
      </c>
      <c r="E21" s="213" t="n">
        <v>0</v>
      </c>
      <c r="F21" s="213" t="n">
        <v>0</v>
      </c>
      <c r="G21" s="213" t="n">
        <v>0</v>
      </c>
      <c r="H21" s="25" t="n">
        <f aca="false">SUM(C21:G21)</f>
        <v>0</v>
      </c>
    </row>
    <row r="22" customFormat="false" ht="15" hidden="false" customHeight="false" outlineLevel="0" collapsed="false">
      <c r="A22" s="25"/>
      <c r="B22" s="24" t="s">
        <v>36</v>
      </c>
      <c r="C22" s="213" t="n">
        <v>0</v>
      </c>
      <c r="D22" s="213" t="n">
        <v>0</v>
      </c>
      <c r="E22" s="213" t="n">
        <v>0</v>
      </c>
      <c r="F22" s="213" t="n">
        <v>0</v>
      </c>
      <c r="G22" s="213" t="n">
        <v>0</v>
      </c>
      <c r="H22" s="25" t="n">
        <f aca="false">SUM(C22:G22)</f>
        <v>0</v>
      </c>
    </row>
    <row r="23" customFormat="false" ht="15" hidden="false" customHeight="false" outlineLevel="0" collapsed="false">
      <c r="A23" s="25"/>
      <c r="B23" s="24" t="s">
        <v>37</v>
      </c>
      <c r="C23" s="213" t="n">
        <v>0</v>
      </c>
      <c r="D23" s="213" t="n">
        <v>0</v>
      </c>
      <c r="E23" s="213" t="n">
        <v>0</v>
      </c>
      <c r="F23" s="213" t="n">
        <v>0</v>
      </c>
      <c r="G23" s="213" t="n">
        <v>0</v>
      </c>
      <c r="H23" s="25" t="n">
        <f aca="false">SUM(C23:G23)</f>
        <v>0</v>
      </c>
    </row>
    <row r="24" customFormat="false" ht="15" hidden="false" customHeight="false" outlineLevel="0" collapsed="false">
      <c r="A24" s="27"/>
      <c r="B24" s="28" t="s">
        <v>22</v>
      </c>
      <c r="C24" s="27" t="n">
        <f aca="false">SUM(C21:C23)</f>
        <v>0</v>
      </c>
      <c r="D24" s="27" t="n">
        <v>0</v>
      </c>
      <c r="E24" s="27" t="n">
        <f aca="false">SUM(E21:E23)</f>
        <v>0</v>
      </c>
      <c r="F24" s="27" t="n">
        <f aca="false">SUM(F21:F23)</f>
        <v>0</v>
      </c>
      <c r="G24" s="27" t="n">
        <f aca="false">SUM(G21:G23)</f>
        <v>0</v>
      </c>
      <c r="H24" s="27" t="n">
        <f aca="false">SUM(H21:H23)</f>
        <v>0</v>
      </c>
    </row>
    <row r="25" customFormat="false" ht="15" hidden="false" customHeight="false" outlineLevel="0" collapsed="false">
      <c r="A25" s="24" t="s">
        <v>86</v>
      </c>
      <c r="B25" s="24" t="s">
        <v>39</v>
      </c>
      <c r="C25" s="213" t="n">
        <v>0</v>
      </c>
      <c r="D25" s="213" t="n">
        <v>0</v>
      </c>
      <c r="E25" s="213" t="n">
        <v>0</v>
      </c>
      <c r="F25" s="213" t="n">
        <v>0</v>
      </c>
      <c r="G25" s="213" t="n">
        <v>0</v>
      </c>
      <c r="H25" s="25" t="n">
        <f aca="false">SUM(C25:G25)</f>
        <v>0</v>
      </c>
    </row>
    <row r="26" customFormat="false" ht="15" hidden="false" customHeight="false" outlineLevel="0" collapsed="false">
      <c r="A26" s="25"/>
      <c r="B26" s="24" t="s">
        <v>40</v>
      </c>
      <c r="C26" s="213" t="n">
        <v>0</v>
      </c>
      <c r="D26" s="213" t="n">
        <v>0</v>
      </c>
      <c r="E26" s="213" t="n">
        <v>0</v>
      </c>
      <c r="F26" s="213" t="n">
        <v>0</v>
      </c>
      <c r="G26" s="213" t="n">
        <v>0</v>
      </c>
      <c r="H26" s="25" t="n">
        <f aca="false">SUM(C26:G26)</f>
        <v>0</v>
      </c>
    </row>
    <row r="27" customFormat="false" ht="15" hidden="false" customHeight="false" outlineLevel="0" collapsed="false">
      <c r="A27" s="25"/>
      <c r="B27" s="24" t="s">
        <v>41</v>
      </c>
      <c r="C27" s="213" t="n">
        <v>2</v>
      </c>
      <c r="D27" s="213" t="n">
        <v>1</v>
      </c>
      <c r="E27" s="213" t="n">
        <v>0</v>
      </c>
      <c r="F27" s="213" t="n">
        <v>0</v>
      </c>
      <c r="G27" s="213" t="n">
        <v>0</v>
      </c>
      <c r="H27" s="25" t="n">
        <f aca="false">SUM(C27:G27)</f>
        <v>3</v>
      </c>
    </row>
    <row r="28" customFormat="false" ht="15" hidden="false" customHeight="false" outlineLevel="0" collapsed="false">
      <c r="A28" s="25"/>
      <c r="B28" s="24" t="s">
        <v>42</v>
      </c>
      <c r="C28" s="213" t="n">
        <v>0</v>
      </c>
      <c r="D28" s="213" t="n">
        <v>0</v>
      </c>
      <c r="E28" s="213" t="n">
        <v>0</v>
      </c>
      <c r="F28" s="213" t="n">
        <v>0</v>
      </c>
      <c r="G28" s="213" t="n">
        <v>0</v>
      </c>
      <c r="H28" s="25" t="n">
        <f aca="false">SUM(C28:G28)</f>
        <v>0</v>
      </c>
    </row>
    <row r="29" customFormat="false" ht="15" hidden="false" customHeight="false" outlineLevel="0" collapsed="false">
      <c r="A29" s="27"/>
      <c r="B29" s="28" t="s">
        <v>22</v>
      </c>
      <c r="C29" s="27" t="n">
        <f aca="false">SUM(C25:C28)</f>
        <v>2</v>
      </c>
      <c r="D29" s="27" t="n">
        <f aca="false">SUM(D25:D28)</f>
        <v>1</v>
      </c>
      <c r="E29" s="27" t="n">
        <f aca="false">SUM(E25:E28)</f>
        <v>0</v>
      </c>
      <c r="F29" s="27" t="n">
        <f aca="false">SUM(F25:F28)</f>
        <v>0</v>
      </c>
      <c r="G29" s="27" t="n">
        <f aca="false">SUM(G25:G28)</f>
        <v>0</v>
      </c>
      <c r="H29" s="27" t="n">
        <f aca="false">SUM(H25:H28)</f>
        <v>3</v>
      </c>
    </row>
    <row r="30" customFormat="false" ht="15" hidden="false" customHeight="false" outlineLevel="0" collapsed="false">
      <c r="A30" s="24" t="s">
        <v>87</v>
      </c>
      <c r="B30" s="24" t="s">
        <v>44</v>
      </c>
      <c r="C30" s="213" t="n">
        <v>0</v>
      </c>
      <c r="D30" s="213" t="n">
        <v>0</v>
      </c>
      <c r="E30" s="213" t="n">
        <v>0</v>
      </c>
      <c r="F30" s="213" t="n">
        <v>1</v>
      </c>
      <c r="G30" s="213" t="n">
        <v>0</v>
      </c>
      <c r="H30" s="25" t="n">
        <f aca="false">SUM(C30:G30)</f>
        <v>1</v>
      </c>
    </row>
    <row r="31" customFormat="false" ht="15" hidden="false" customHeight="false" outlineLevel="0" collapsed="false">
      <c r="A31" s="25"/>
      <c r="B31" s="24" t="s">
        <v>45</v>
      </c>
      <c r="C31" s="213" t="n">
        <v>0</v>
      </c>
      <c r="D31" s="213" t="n">
        <v>0</v>
      </c>
      <c r="E31" s="213" t="n">
        <v>0</v>
      </c>
      <c r="F31" s="213" t="n">
        <v>0</v>
      </c>
      <c r="G31" s="213" t="n">
        <v>0</v>
      </c>
      <c r="H31" s="25" t="n">
        <f aca="false">SUM(C31:G31)</f>
        <v>0</v>
      </c>
    </row>
    <row r="32" customFormat="false" ht="15" hidden="false" customHeight="false" outlineLevel="0" collapsed="false">
      <c r="A32" s="25"/>
      <c r="B32" s="24" t="s">
        <v>46</v>
      </c>
      <c r="C32" s="213" t="n">
        <v>3</v>
      </c>
      <c r="D32" s="213" t="n">
        <v>3</v>
      </c>
      <c r="E32" s="213" t="n">
        <v>2</v>
      </c>
      <c r="F32" s="213" t="n">
        <v>1</v>
      </c>
      <c r="G32" s="213" t="n">
        <v>1</v>
      </c>
      <c r="H32" s="25" t="n">
        <f aca="false">SUM(C32:G32)</f>
        <v>10</v>
      </c>
    </row>
    <row r="33" customFormat="false" ht="15" hidden="false" customHeight="false" outlineLevel="0" collapsed="false">
      <c r="A33" s="27"/>
      <c r="B33" s="28" t="s">
        <v>22</v>
      </c>
      <c r="C33" s="27" t="n">
        <f aca="false">SUM(C30:C32)</f>
        <v>3</v>
      </c>
      <c r="D33" s="27" t="n">
        <f aca="false">SUM(D30:D32)</f>
        <v>3</v>
      </c>
      <c r="E33" s="27" t="n">
        <f aca="false">SUM(E30:E32)</f>
        <v>2</v>
      </c>
      <c r="F33" s="27" t="n">
        <f aca="false">SUM(F30:F32)</f>
        <v>2</v>
      </c>
      <c r="G33" s="27" t="n">
        <f aca="false">SUM(G30:G32)</f>
        <v>1</v>
      </c>
      <c r="H33" s="27" t="n">
        <f aca="false">SUM(H30:H32)</f>
        <v>11</v>
      </c>
    </row>
    <row r="34" customFormat="false" ht="15" hidden="false" customHeight="false" outlineLevel="0" collapsed="false">
      <c r="A34" s="24" t="s">
        <v>90</v>
      </c>
      <c r="B34" s="24" t="s">
        <v>91</v>
      </c>
      <c r="C34" s="213" t="n">
        <v>0</v>
      </c>
      <c r="D34" s="213" t="n">
        <v>0</v>
      </c>
      <c r="E34" s="213" t="n">
        <v>0</v>
      </c>
      <c r="F34" s="213" t="n">
        <v>0</v>
      </c>
      <c r="G34" s="213" t="n">
        <v>0</v>
      </c>
      <c r="H34" s="25" t="n">
        <f aca="false">SUM(C34:G34)</f>
        <v>0</v>
      </c>
    </row>
    <row r="35" customFormat="false" ht="15" hidden="false" customHeight="false" outlineLevel="0" collapsed="false">
      <c r="A35" s="25"/>
      <c r="B35" s="24" t="s">
        <v>92</v>
      </c>
      <c r="C35" s="213" t="n">
        <v>0</v>
      </c>
      <c r="D35" s="213" t="n">
        <v>2</v>
      </c>
      <c r="E35" s="213" t="n">
        <v>2</v>
      </c>
      <c r="F35" s="213" t="n">
        <v>1</v>
      </c>
      <c r="G35" s="213" t="n">
        <v>0</v>
      </c>
      <c r="H35" s="25" t="n">
        <f aca="false">SUM(C35:G35)</f>
        <v>5</v>
      </c>
    </row>
    <row r="36" customFormat="false" ht="15" hidden="false" customHeight="false" outlineLevel="0" collapsed="false">
      <c r="A36" s="25"/>
      <c r="B36" s="24" t="s">
        <v>93</v>
      </c>
      <c r="C36" s="213" t="n">
        <v>0</v>
      </c>
      <c r="D36" s="213" t="n">
        <v>0</v>
      </c>
      <c r="E36" s="213" t="n">
        <v>0</v>
      </c>
      <c r="F36" s="213" t="n">
        <v>0</v>
      </c>
      <c r="G36" s="213" t="n">
        <v>0</v>
      </c>
      <c r="H36" s="25" t="n">
        <f aca="false">SUM(C36:G36)</f>
        <v>0</v>
      </c>
    </row>
    <row r="37" customFormat="false" ht="15" hidden="false" customHeight="false" outlineLevel="0" collapsed="false">
      <c r="A37" s="25"/>
      <c r="B37" s="24" t="s">
        <v>94</v>
      </c>
      <c r="C37" s="213" t="n">
        <v>0</v>
      </c>
      <c r="D37" s="213" t="n">
        <v>0</v>
      </c>
      <c r="E37" s="213" t="n">
        <v>1</v>
      </c>
      <c r="F37" s="213" t="n">
        <v>0</v>
      </c>
      <c r="G37" s="213" t="n">
        <v>0</v>
      </c>
      <c r="H37" s="25" t="n">
        <f aca="false">SUM(C37:G37)</f>
        <v>1</v>
      </c>
    </row>
    <row r="38" customFormat="false" ht="15" hidden="false" customHeight="false" outlineLevel="0" collapsed="false">
      <c r="A38" s="25"/>
      <c r="B38" s="24" t="s">
        <v>95</v>
      </c>
      <c r="C38" s="213" t="n">
        <v>1</v>
      </c>
      <c r="D38" s="213" t="n">
        <v>2</v>
      </c>
      <c r="E38" s="213" t="n">
        <v>0</v>
      </c>
      <c r="F38" s="213" t="n">
        <v>0</v>
      </c>
      <c r="G38" s="213" t="n">
        <v>1</v>
      </c>
      <c r="H38" s="25" t="n">
        <f aca="false">SUM(C38:G38)</f>
        <v>4</v>
      </c>
    </row>
    <row r="39" customFormat="false" ht="15" hidden="false" customHeight="false" outlineLevel="0" collapsed="false">
      <c r="A39" s="25"/>
      <c r="B39" s="24" t="s">
        <v>96</v>
      </c>
      <c r="C39" s="213" t="n">
        <v>2</v>
      </c>
      <c r="D39" s="213" t="n">
        <v>0</v>
      </c>
      <c r="E39" s="213" t="n">
        <v>4</v>
      </c>
      <c r="F39" s="213" t="n">
        <v>2</v>
      </c>
      <c r="G39" s="213" t="n">
        <v>0</v>
      </c>
      <c r="H39" s="25" t="n">
        <f aca="false">SUM(C39:G39)</f>
        <v>8</v>
      </c>
    </row>
    <row r="40" customFormat="false" ht="15" hidden="false" customHeight="false" outlineLevel="0" collapsed="false">
      <c r="A40" s="25"/>
      <c r="B40" s="24" t="s">
        <v>97</v>
      </c>
      <c r="C40" s="213" t="n">
        <v>0</v>
      </c>
      <c r="D40" s="213" t="n">
        <v>1</v>
      </c>
      <c r="E40" s="213" t="n">
        <v>0</v>
      </c>
      <c r="F40" s="213" t="n">
        <v>1</v>
      </c>
      <c r="G40" s="213" t="n">
        <v>0</v>
      </c>
      <c r="H40" s="25" t="n">
        <f aca="false">SUM(C40:G40)</f>
        <v>2</v>
      </c>
    </row>
    <row r="41" customFormat="false" ht="15" hidden="false" customHeight="false" outlineLevel="0" collapsed="false">
      <c r="A41" s="25"/>
      <c r="B41" s="24" t="s">
        <v>98</v>
      </c>
      <c r="C41" s="213" t="n">
        <v>0</v>
      </c>
      <c r="D41" s="213" t="n">
        <v>0</v>
      </c>
      <c r="E41" s="213" t="n">
        <v>0</v>
      </c>
      <c r="F41" s="213" t="n">
        <v>0</v>
      </c>
      <c r="G41" s="213" t="n">
        <v>0</v>
      </c>
      <c r="H41" s="25" t="n">
        <f aca="false">SUM(C41:G41)</f>
        <v>0</v>
      </c>
    </row>
    <row r="42" customFormat="false" ht="15" hidden="false" customHeight="false" outlineLevel="0" collapsed="false">
      <c r="A42" s="25"/>
      <c r="B42" s="24" t="s">
        <v>99</v>
      </c>
      <c r="C42" s="213" t="n">
        <v>1</v>
      </c>
      <c r="D42" s="213" t="n">
        <v>0</v>
      </c>
      <c r="E42" s="213" t="n">
        <v>1</v>
      </c>
      <c r="F42" s="213" t="n">
        <v>0</v>
      </c>
      <c r="G42" s="213" t="n">
        <v>0</v>
      </c>
      <c r="H42" s="25" t="n">
        <f aca="false">SUM(C42:G42)</f>
        <v>2</v>
      </c>
    </row>
    <row r="43" customFormat="false" ht="15" hidden="false" customHeight="false" outlineLevel="0" collapsed="false">
      <c r="A43" s="27"/>
      <c r="B43" s="28" t="s">
        <v>22</v>
      </c>
      <c r="C43" s="27" t="n">
        <f aca="false">SUM(C34:C42)</f>
        <v>4</v>
      </c>
      <c r="D43" s="27" t="n">
        <f aca="false">SUM(D34:D42)</f>
        <v>5</v>
      </c>
      <c r="E43" s="27" t="n">
        <f aca="false">SUM(E34:E42)</f>
        <v>8</v>
      </c>
      <c r="F43" s="27" t="n">
        <f aca="false">SUM(F34:F42)</f>
        <v>4</v>
      </c>
      <c r="G43" s="27" t="n">
        <f aca="false">SUM(G34:G42)</f>
        <v>1</v>
      </c>
      <c r="H43" s="27" t="n">
        <f aca="false">SUM(H34:H42)</f>
        <v>22</v>
      </c>
    </row>
    <row r="44" customFormat="false" ht="15" hidden="false" customHeight="false" outlineLevel="0" collapsed="false">
      <c r="A44" s="24" t="s">
        <v>100</v>
      </c>
      <c r="B44" s="24" t="s">
        <v>101</v>
      </c>
      <c r="C44" s="213" t="n">
        <v>1</v>
      </c>
      <c r="D44" s="213" t="n">
        <v>0</v>
      </c>
      <c r="E44" s="213" t="n">
        <v>7</v>
      </c>
      <c r="F44" s="213" t="n">
        <v>2</v>
      </c>
      <c r="G44" s="213" t="n">
        <v>0</v>
      </c>
      <c r="H44" s="25" t="n">
        <f aca="false">SUM(C44:G44)</f>
        <v>10</v>
      </c>
    </row>
    <row r="45" customFormat="false" ht="15" hidden="false" customHeight="false" outlineLevel="0" collapsed="false">
      <c r="A45" s="25"/>
      <c r="B45" s="24" t="s">
        <v>102</v>
      </c>
      <c r="C45" s="213" t="n">
        <v>0</v>
      </c>
      <c r="D45" s="213" t="n">
        <v>0</v>
      </c>
      <c r="E45" s="213" t="n">
        <v>0</v>
      </c>
      <c r="F45" s="213" t="n">
        <v>0</v>
      </c>
      <c r="G45" s="213" t="n">
        <v>0</v>
      </c>
      <c r="H45" s="25" t="n">
        <f aca="false">SUM(C45:G45)</f>
        <v>0</v>
      </c>
    </row>
    <row r="46" customFormat="false" ht="15" hidden="false" customHeight="false" outlineLevel="0" collapsed="false">
      <c r="A46" s="25"/>
      <c r="B46" s="24" t="s">
        <v>103</v>
      </c>
      <c r="C46" s="213" t="n">
        <v>0</v>
      </c>
      <c r="D46" s="213" t="n">
        <v>0</v>
      </c>
      <c r="E46" s="213" t="n">
        <v>0</v>
      </c>
      <c r="F46" s="213" t="n">
        <v>0</v>
      </c>
      <c r="G46" s="213" t="n">
        <v>0</v>
      </c>
      <c r="H46" s="25" t="n">
        <f aca="false">SUM(C46:G46)</f>
        <v>0</v>
      </c>
    </row>
    <row r="47" customFormat="false" ht="15" hidden="false" customHeight="false" outlineLevel="0" collapsed="false">
      <c r="A47" s="25"/>
      <c r="B47" s="24" t="s">
        <v>104</v>
      </c>
      <c r="C47" s="213" t="n">
        <v>0</v>
      </c>
      <c r="D47" s="213" t="n">
        <v>0</v>
      </c>
      <c r="E47" s="213" t="n">
        <v>0</v>
      </c>
      <c r="F47" s="213" t="n">
        <v>0</v>
      </c>
      <c r="G47" s="213" t="n">
        <v>0</v>
      </c>
      <c r="H47" s="25" t="n">
        <f aca="false">SUM(C47:G47)</f>
        <v>0</v>
      </c>
    </row>
    <row r="48" customFormat="false" ht="15" hidden="false" customHeight="false" outlineLevel="0" collapsed="false">
      <c r="A48" s="25"/>
      <c r="B48" s="24" t="s">
        <v>105</v>
      </c>
      <c r="C48" s="213" t="n">
        <v>0</v>
      </c>
      <c r="D48" s="213" t="n">
        <v>0</v>
      </c>
      <c r="E48" s="213" t="n">
        <v>0</v>
      </c>
      <c r="F48" s="213" t="n">
        <v>0</v>
      </c>
      <c r="G48" s="213" t="n">
        <v>0</v>
      </c>
      <c r="H48" s="25" t="n">
        <f aca="false">SUM(C48:G48)</f>
        <v>0</v>
      </c>
    </row>
    <row r="49" customFormat="false" ht="15" hidden="false" customHeight="false" outlineLevel="0" collapsed="false">
      <c r="A49" s="25"/>
      <c r="B49" s="24" t="s">
        <v>106</v>
      </c>
      <c r="C49" s="213" t="n">
        <v>0</v>
      </c>
      <c r="D49" s="213" t="n">
        <v>0</v>
      </c>
      <c r="E49" s="213" t="n">
        <v>0</v>
      </c>
      <c r="F49" s="213" t="n">
        <v>0</v>
      </c>
      <c r="G49" s="213" t="n">
        <v>0</v>
      </c>
      <c r="H49" s="25" t="n">
        <f aca="false">SUM(C49:G49)</f>
        <v>0</v>
      </c>
    </row>
    <row r="50" customFormat="false" ht="15" hidden="false" customHeight="false" outlineLevel="0" collapsed="false">
      <c r="A50" s="25"/>
      <c r="B50" s="24" t="s">
        <v>107</v>
      </c>
      <c r="C50" s="213" t="n">
        <v>0</v>
      </c>
      <c r="D50" s="213" t="n">
        <v>0</v>
      </c>
      <c r="E50" s="213" t="n">
        <v>0</v>
      </c>
      <c r="F50" s="213" t="n">
        <v>0</v>
      </c>
      <c r="G50" s="213" t="n">
        <v>0</v>
      </c>
      <c r="H50" s="25" t="n">
        <f aca="false">SUM(C50:G50)</f>
        <v>0</v>
      </c>
    </row>
    <row r="51" customFormat="false" ht="15" hidden="false" customHeight="false" outlineLevel="0" collapsed="false">
      <c r="A51" s="25"/>
      <c r="B51" s="24" t="s">
        <v>108</v>
      </c>
      <c r="C51" s="213" t="n">
        <v>0</v>
      </c>
      <c r="D51" s="213" t="n">
        <v>0</v>
      </c>
      <c r="E51" s="213" t="n">
        <v>0</v>
      </c>
      <c r="F51" s="213" t="n">
        <v>0</v>
      </c>
      <c r="G51" s="213" t="n">
        <v>0</v>
      </c>
      <c r="H51" s="25" t="n">
        <f aca="false">SUM(C51:G51)</f>
        <v>0</v>
      </c>
    </row>
    <row r="52" customFormat="false" ht="15" hidden="false" customHeight="false" outlineLevel="0" collapsed="false">
      <c r="A52" s="25"/>
      <c r="B52" s="24" t="s">
        <v>109</v>
      </c>
      <c r="C52" s="213" t="n">
        <v>0</v>
      </c>
      <c r="D52" s="213" t="n">
        <v>1</v>
      </c>
      <c r="E52" s="213" t="n">
        <v>1</v>
      </c>
      <c r="F52" s="213" t="n">
        <v>1</v>
      </c>
      <c r="G52" s="213" t="n">
        <v>0</v>
      </c>
      <c r="H52" s="25" t="n">
        <f aca="false">SUM(C52:G52)</f>
        <v>3</v>
      </c>
    </row>
    <row r="53" customFormat="false" ht="15" hidden="false" customHeight="false" outlineLevel="0" collapsed="false">
      <c r="A53" s="25"/>
      <c r="B53" s="24" t="s">
        <v>110</v>
      </c>
      <c r="C53" s="213" t="n">
        <v>0</v>
      </c>
      <c r="D53" s="213" t="n">
        <v>0</v>
      </c>
      <c r="E53" s="213" t="n">
        <v>2</v>
      </c>
      <c r="F53" s="213" t="n">
        <v>0</v>
      </c>
      <c r="G53" s="213" t="n">
        <v>0</v>
      </c>
      <c r="H53" s="25" t="n">
        <f aca="false">SUM(C53:G53)</f>
        <v>2</v>
      </c>
    </row>
    <row r="54" customFormat="false" ht="15" hidden="false" customHeight="false" outlineLevel="0" collapsed="false">
      <c r="A54" s="25"/>
      <c r="B54" s="24" t="s">
        <v>111</v>
      </c>
      <c r="C54" s="213" t="n">
        <v>0</v>
      </c>
      <c r="D54" s="213" t="n">
        <v>0</v>
      </c>
      <c r="E54" s="213" t="n">
        <v>0</v>
      </c>
      <c r="F54" s="213" t="n">
        <v>0</v>
      </c>
      <c r="G54" s="213" t="n">
        <v>0</v>
      </c>
      <c r="H54" s="25" t="n">
        <f aca="false">SUM(C54:G54)</f>
        <v>0</v>
      </c>
    </row>
    <row r="55" customFormat="false" ht="15" hidden="false" customHeight="false" outlineLevel="0" collapsed="false">
      <c r="A55" s="25"/>
      <c r="B55" s="24" t="s">
        <v>112</v>
      </c>
      <c r="C55" s="213" t="n">
        <v>0</v>
      </c>
      <c r="D55" s="213" t="n">
        <v>0</v>
      </c>
      <c r="E55" s="213" t="n">
        <v>0</v>
      </c>
      <c r="F55" s="213" t="n">
        <v>0</v>
      </c>
      <c r="G55" s="213" t="n">
        <v>0</v>
      </c>
      <c r="H55" s="25" t="n">
        <f aca="false">SUM(C55:G55)</f>
        <v>0</v>
      </c>
    </row>
    <row r="56" customFormat="false" ht="15" hidden="false" customHeight="false" outlineLevel="0" collapsed="false">
      <c r="A56" s="25"/>
      <c r="B56" s="24" t="s">
        <v>113</v>
      </c>
      <c r="C56" s="213" t="n">
        <v>0</v>
      </c>
      <c r="D56" s="213" t="n">
        <v>0</v>
      </c>
      <c r="E56" s="213" t="n">
        <v>0</v>
      </c>
      <c r="F56" s="213" t="n">
        <v>0</v>
      </c>
      <c r="G56" s="213" t="n">
        <v>0</v>
      </c>
      <c r="H56" s="25" t="n">
        <f aca="false">SUM(C56:G56)</f>
        <v>0</v>
      </c>
    </row>
    <row r="57" customFormat="false" ht="15" hidden="false" customHeight="false" outlineLevel="0" collapsed="false">
      <c r="A57" s="25"/>
      <c r="B57" s="24" t="s">
        <v>114</v>
      </c>
      <c r="C57" s="213" t="n">
        <v>0</v>
      </c>
      <c r="D57" s="213" t="n">
        <v>0</v>
      </c>
      <c r="E57" s="213" t="n">
        <v>0</v>
      </c>
      <c r="F57" s="213" t="n">
        <v>0</v>
      </c>
      <c r="G57" s="213" t="n">
        <v>0</v>
      </c>
      <c r="H57" s="25" t="n">
        <f aca="false">SUM(C57:G57)</f>
        <v>0</v>
      </c>
    </row>
    <row r="58" customFormat="false" ht="15" hidden="false" customHeight="false" outlineLevel="0" collapsed="false">
      <c r="A58" s="25"/>
      <c r="B58" s="24" t="s">
        <v>115</v>
      </c>
      <c r="C58" s="213" t="n">
        <v>0</v>
      </c>
      <c r="D58" s="213" t="n">
        <v>2</v>
      </c>
      <c r="E58" s="213" t="n">
        <v>1</v>
      </c>
      <c r="F58" s="213" t="n">
        <v>0</v>
      </c>
      <c r="G58" s="213" t="n">
        <v>0</v>
      </c>
      <c r="H58" s="25" t="n">
        <f aca="false">SUM(C58:G58)</f>
        <v>3</v>
      </c>
    </row>
    <row r="59" customFormat="false" ht="15" hidden="false" customHeight="false" outlineLevel="0" collapsed="false">
      <c r="A59" s="25"/>
      <c r="B59" s="24" t="s">
        <v>116</v>
      </c>
      <c r="C59" s="213" t="n">
        <v>0</v>
      </c>
      <c r="D59" s="213" t="n">
        <v>0</v>
      </c>
      <c r="E59" s="213" t="n">
        <v>0</v>
      </c>
      <c r="F59" s="213" t="n">
        <v>0</v>
      </c>
      <c r="G59" s="213" t="n">
        <v>0</v>
      </c>
      <c r="H59" s="25" t="n">
        <f aca="false">SUM(C59:G59)</f>
        <v>0</v>
      </c>
    </row>
    <row r="60" customFormat="false" ht="15" hidden="false" customHeight="false" outlineLevel="0" collapsed="false">
      <c r="A60" s="155"/>
      <c r="B60" s="214" t="s">
        <v>22</v>
      </c>
      <c r="C60" s="27" t="n">
        <f aca="false">SUM(C44:C59)</f>
        <v>1</v>
      </c>
      <c r="D60" s="27" t="n">
        <f aca="false">SUM(D44:D59)</f>
        <v>3</v>
      </c>
      <c r="E60" s="27" t="n">
        <f aca="false">SUM(E44:E59)</f>
        <v>11</v>
      </c>
      <c r="F60" s="27" t="n">
        <f aca="false">SUM(F44:F59)</f>
        <v>3</v>
      </c>
      <c r="G60" s="27" t="n">
        <f aca="false">SUM(G44:G59)</f>
        <v>0</v>
      </c>
      <c r="H60" s="27" t="n">
        <f aca="false">SUM(H44:H59)</f>
        <v>18</v>
      </c>
    </row>
    <row r="61" customFormat="false" ht="15" hidden="false" customHeight="false" outlineLevel="0" collapsed="false">
      <c r="A61" s="32"/>
      <c r="B61" s="32" t="s">
        <v>74</v>
      </c>
      <c r="C61" s="215" t="n">
        <f aca="false">C9+C14+C16+C20+C24+C29+C33+C43+C60</f>
        <v>10</v>
      </c>
      <c r="D61" s="215" t="n">
        <f aca="false">D9+D14+D16+D20+D24+D29+D33+D43+D60</f>
        <v>12</v>
      </c>
      <c r="E61" s="215" t="n">
        <f aca="false">E9+E14+E16+E20+E24+E29+E33+E43+E60</f>
        <v>21</v>
      </c>
      <c r="F61" s="215" t="n">
        <f aca="false">F9+F14+F16+F20+F24+F29+F33+F43+F60</f>
        <v>9</v>
      </c>
      <c r="G61" s="215" t="n">
        <f aca="false">G9+G14+G16+G20+G24+G29+G33+G43+G60</f>
        <v>2</v>
      </c>
      <c r="H61" s="215" t="n">
        <f aca="false">H9+H14+H16+H20+H24+H29+H33+H43+H60</f>
        <v>54</v>
      </c>
    </row>
    <row r="62" customFormat="false" ht="15" hidden="false" customHeight="false" outlineLevel="0" collapsed="false">
      <c r="A62" s="34" t="s">
        <v>118</v>
      </c>
    </row>
    <row r="63" customFormat="false" ht="15" hidden="false" customHeight="false" outlineLevel="0" collapsed="false">
      <c r="A63" s="2" t="s">
        <v>417</v>
      </c>
    </row>
  </sheetData>
  <mergeCells count="10">
    <mergeCell ref="A1:H1"/>
    <mergeCell ref="C2:G2"/>
    <mergeCell ref="A3:A4"/>
    <mergeCell ref="B3:B4"/>
    <mergeCell ref="C3:C4"/>
    <mergeCell ref="D3:D4"/>
    <mergeCell ref="E3:E4"/>
    <mergeCell ref="F3:F4"/>
    <mergeCell ref="G3:G4"/>
    <mergeCell ref="H3:H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" min="1" style="0" width="17.71"/>
    <col collapsed="false" customWidth="true" hidden="false" outlineLevel="0" max="2" min="2" style="0" width="19.71"/>
    <col collapsed="false" customWidth="true" hidden="false" outlineLevel="0" max="4" min="3" style="0" width="8.67"/>
    <col collapsed="false" customWidth="true" hidden="false" outlineLevel="0" max="5" min="5" style="0" width="14.7"/>
    <col collapsed="false" customWidth="true" hidden="false" outlineLevel="0" max="6" min="6" style="0" width="20.99"/>
    <col collapsed="false" customWidth="true" hidden="false" outlineLevel="0" max="1025" min="7" style="0" width="8.67"/>
  </cols>
  <sheetData>
    <row r="1" customFormat="false" ht="15" hidden="false" customHeight="false" outlineLevel="0" collapsed="false">
      <c r="A1" s="35" t="s">
        <v>418</v>
      </c>
      <c r="B1" s="35"/>
      <c r="C1" s="35"/>
      <c r="D1" s="35"/>
      <c r="E1" s="35"/>
      <c r="F1" s="35"/>
      <c r="G1" s="35"/>
    </row>
    <row r="2" customFormat="false" ht="15" hidden="false" customHeight="false" outlineLevel="0" collapsed="false">
      <c r="A2" s="36"/>
      <c r="B2" s="36" t="s">
        <v>1</v>
      </c>
      <c r="C2" s="36" t="s">
        <v>419</v>
      </c>
      <c r="D2" s="36" t="s">
        <v>420</v>
      </c>
      <c r="E2" s="36" t="s">
        <v>421</v>
      </c>
      <c r="F2" s="36" t="s">
        <v>410</v>
      </c>
      <c r="G2" s="36"/>
    </row>
    <row r="3" customFormat="false" ht="15" hidden="false" customHeight="true" outlineLevel="0" collapsed="false">
      <c r="A3" s="23" t="s">
        <v>422</v>
      </c>
      <c r="B3" s="23" t="s">
        <v>121</v>
      </c>
      <c r="C3" s="23" t="s">
        <v>423</v>
      </c>
      <c r="D3" s="23" t="s">
        <v>424</v>
      </c>
      <c r="E3" s="23" t="s">
        <v>425</v>
      </c>
      <c r="F3" s="23" t="s">
        <v>426</v>
      </c>
      <c r="G3" s="23" t="s">
        <v>416</v>
      </c>
    </row>
    <row r="4" customFormat="false" ht="15" hidden="false" customHeight="false" outlineLevel="0" collapsed="false">
      <c r="A4" s="23"/>
      <c r="B4" s="23"/>
      <c r="C4" s="23"/>
      <c r="D4" s="23"/>
      <c r="E4" s="23"/>
      <c r="F4" s="23"/>
      <c r="G4" s="23"/>
    </row>
    <row r="5" customFormat="false" ht="15" hidden="false" customHeight="false" outlineLevel="0" collapsed="false">
      <c r="A5" s="23"/>
      <c r="B5" s="23"/>
      <c r="C5" s="23"/>
      <c r="D5" s="23"/>
      <c r="E5" s="23"/>
      <c r="F5" s="23"/>
      <c r="G5" s="23"/>
    </row>
    <row r="6" customFormat="false" ht="15" hidden="false" customHeight="false" outlineLevel="0" collapsed="false">
      <c r="A6" s="24" t="s">
        <v>81</v>
      </c>
      <c r="B6" s="24" t="s">
        <v>18</v>
      </c>
      <c r="C6" s="213" t="n">
        <v>0</v>
      </c>
      <c r="D6" s="213" t="n">
        <v>0</v>
      </c>
      <c r="E6" s="213" t="n">
        <v>0</v>
      </c>
      <c r="F6" s="213" t="n">
        <v>0</v>
      </c>
      <c r="G6" s="213" t="n">
        <v>0</v>
      </c>
    </row>
    <row r="7" customFormat="false" ht="15" hidden="false" customHeight="false" outlineLevel="0" collapsed="false">
      <c r="A7" s="26"/>
      <c r="B7" s="24" t="s">
        <v>19</v>
      </c>
      <c r="C7" s="213" t="n">
        <v>0</v>
      </c>
      <c r="D7" s="213" t="n">
        <v>1</v>
      </c>
      <c r="E7" s="213" t="n">
        <v>0</v>
      </c>
      <c r="F7" s="213" t="n">
        <v>0</v>
      </c>
      <c r="G7" s="213" t="n">
        <v>1</v>
      </c>
    </row>
    <row r="8" customFormat="false" ht="15" hidden="false" customHeight="false" outlineLevel="0" collapsed="false">
      <c r="A8" s="26"/>
      <c r="B8" s="24" t="s">
        <v>20</v>
      </c>
      <c r="C8" s="213" t="n">
        <v>0</v>
      </c>
      <c r="D8" s="213" t="n">
        <v>0</v>
      </c>
      <c r="E8" s="213" t="n">
        <v>0</v>
      </c>
      <c r="F8" s="213" t="n">
        <v>0</v>
      </c>
      <c r="G8" s="213" t="n">
        <v>0</v>
      </c>
    </row>
    <row r="9" customFormat="false" ht="15" hidden="false" customHeight="false" outlineLevel="0" collapsed="false">
      <c r="A9" s="26"/>
      <c r="B9" s="24" t="s">
        <v>21</v>
      </c>
      <c r="C9" s="213" t="n">
        <v>0</v>
      </c>
      <c r="D9" s="213" t="n">
        <v>0</v>
      </c>
      <c r="E9" s="213" t="n">
        <v>1</v>
      </c>
      <c r="F9" s="213" t="n">
        <v>0</v>
      </c>
      <c r="G9" s="213" t="n">
        <v>1</v>
      </c>
    </row>
    <row r="10" customFormat="false" ht="15" hidden="false" customHeight="false" outlineLevel="0" collapsed="false">
      <c r="A10" s="27"/>
      <c r="B10" s="28" t="s">
        <v>22</v>
      </c>
      <c r="C10" s="27" t="n">
        <v>0</v>
      </c>
      <c r="D10" s="27" t="n">
        <v>1</v>
      </c>
      <c r="E10" s="27" t="n">
        <v>1</v>
      </c>
      <c r="F10" s="27" t="n">
        <v>0</v>
      </c>
      <c r="G10" s="27" t="n">
        <v>2</v>
      </c>
    </row>
    <row r="11" customFormat="false" ht="15" hidden="false" customHeight="false" outlineLevel="0" collapsed="false">
      <c r="A11" s="24" t="s">
        <v>82</v>
      </c>
      <c r="B11" s="24" t="s">
        <v>24</v>
      </c>
      <c r="C11" s="25" t="n">
        <v>0</v>
      </c>
      <c r="D11" s="213" t="n">
        <v>0</v>
      </c>
      <c r="E11" s="213" t="n">
        <v>0</v>
      </c>
      <c r="F11" s="213" t="n">
        <v>0</v>
      </c>
      <c r="G11" s="213" t="n">
        <v>0</v>
      </c>
    </row>
    <row r="12" customFormat="false" ht="15" hidden="false" customHeight="false" outlineLevel="0" collapsed="false">
      <c r="A12" s="29"/>
      <c r="B12" s="24" t="s">
        <v>25</v>
      </c>
      <c r="C12" s="25" t="n">
        <v>1</v>
      </c>
      <c r="D12" s="213" t="n">
        <v>1</v>
      </c>
      <c r="E12" s="213" t="n">
        <v>0</v>
      </c>
      <c r="F12" s="213" t="n">
        <v>0</v>
      </c>
      <c r="G12" s="213" t="n">
        <v>2</v>
      </c>
    </row>
    <row r="13" customFormat="false" ht="15" hidden="false" customHeight="false" outlineLevel="0" collapsed="false">
      <c r="A13" s="29"/>
      <c r="B13" s="24" t="s">
        <v>26</v>
      </c>
      <c r="C13" s="25" t="n">
        <v>0</v>
      </c>
      <c r="D13" s="213" t="n">
        <v>0</v>
      </c>
      <c r="E13" s="213" t="n">
        <v>0</v>
      </c>
      <c r="F13" s="213" t="n">
        <v>0</v>
      </c>
      <c r="G13" s="213" t="n">
        <v>0</v>
      </c>
    </row>
    <row r="14" customFormat="false" ht="15" hidden="false" customHeight="false" outlineLevel="0" collapsed="false">
      <c r="A14" s="29"/>
      <c r="B14" s="24" t="s">
        <v>27</v>
      </c>
      <c r="C14" s="25" t="n">
        <v>2</v>
      </c>
      <c r="D14" s="213" t="n">
        <v>1</v>
      </c>
      <c r="E14" s="213" t="n">
        <v>1</v>
      </c>
      <c r="F14" s="213" t="n">
        <v>0</v>
      </c>
      <c r="G14" s="213" t="n">
        <v>4</v>
      </c>
    </row>
    <row r="15" customFormat="false" ht="15" hidden="false" customHeight="false" outlineLevel="0" collapsed="false">
      <c r="A15" s="27"/>
      <c r="B15" s="28" t="s">
        <v>22</v>
      </c>
      <c r="C15" s="27" t="n">
        <v>3</v>
      </c>
      <c r="D15" s="27" t="n">
        <v>2</v>
      </c>
      <c r="E15" s="27" t="n">
        <v>1</v>
      </c>
      <c r="F15" s="27" t="n">
        <v>0</v>
      </c>
      <c r="G15" s="27" t="n">
        <v>6</v>
      </c>
    </row>
    <row r="16" customFormat="false" ht="15" hidden="false" customHeight="false" outlineLevel="0" collapsed="false">
      <c r="A16" s="24" t="s">
        <v>83</v>
      </c>
      <c r="B16" s="24" t="s">
        <v>29</v>
      </c>
      <c r="C16" s="213" t="n">
        <v>0</v>
      </c>
      <c r="D16" s="213" t="n">
        <v>0</v>
      </c>
      <c r="E16" s="213" t="n">
        <v>0</v>
      </c>
      <c r="F16" s="213" t="n">
        <v>0</v>
      </c>
      <c r="G16" s="213" t="n">
        <v>0</v>
      </c>
    </row>
    <row r="17" customFormat="false" ht="15" hidden="false" customHeight="false" outlineLevel="0" collapsed="false">
      <c r="A17" s="27"/>
      <c r="B17" s="28" t="s">
        <v>22</v>
      </c>
      <c r="C17" s="27" t="n">
        <v>0</v>
      </c>
      <c r="D17" s="27" t="n">
        <v>0</v>
      </c>
      <c r="E17" s="27" t="n">
        <v>0</v>
      </c>
      <c r="F17" s="27" t="n">
        <v>0</v>
      </c>
      <c r="G17" s="27" t="n">
        <v>0</v>
      </c>
    </row>
    <row r="18" customFormat="false" ht="15" hidden="false" customHeight="false" outlineLevel="0" collapsed="false">
      <c r="A18" s="24" t="s">
        <v>84</v>
      </c>
      <c r="B18" s="24" t="s">
        <v>31</v>
      </c>
      <c r="C18" s="213" t="n">
        <v>0</v>
      </c>
      <c r="D18" s="213" t="n">
        <v>0</v>
      </c>
      <c r="E18" s="213" t="n">
        <v>0</v>
      </c>
      <c r="F18" s="213" t="n">
        <v>0</v>
      </c>
      <c r="G18" s="213" t="n">
        <v>0</v>
      </c>
    </row>
    <row r="19" customFormat="false" ht="15" hidden="false" customHeight="false" outlineLevel="0" collapsed="false">
      <c r="A19" s="25"/>
      <c r="B19" s="24" t="s">
        <v>32</v>
      </c>
      <c r="C19" s="213" t="n">
        <v>0</v>
      </c>
      <c r="D19" s="213" t="n">
        <v>0</v>
      </c>
      <c r="E19" s="213" t="n">
        <v>0</v>
      </c>
      <c r="F19" s="213" t="n">
        <v>0</v>
      </c>
      <c r="G19" s="213" t="n">
        <v>0</v>
      </c>
    </row>
    <row r="20" customFormat="false" ht="15" hidden="false" customHeight="false" outlineLevel="0" collapsed="false">
      <c r="A20" s="25"/>
      <c r="B20" s="24" t="s">
        <v>33</v>
      </c>
      <c r="C20" s="213" t="n">
        <v>0</v>
      </c>
      <c r="D20" s="213" t="n">
        <v>0</v>
      </c>
      <c r="E20" s="213" t="n">
        <v>0</v>
      </c>
      <c r="F20" s="213" t="n">
        <v>0</v>
      </c>
      <c r="G20" s="213" t="n">
        <v>0</v>
      </c>
    </row>
    <row r="21" customFormat="false" ht="15" hidden="false" customHeight="false" outlineLevel="0" collapsed="false">
      <c r="A21" s="27"/>
      <c r="B21" s="28" t="s">
        <v>22</v>
      </c>
      <c r="C21" s="27" t="n">
        <v>0</v>
      </c>
      <c r="D21" s="27" t="n">
        <v>0</v>
      </c>
      <c r="E21" s="27" t="n">
        <v>0</v>
      </c>
      <c r="F21" s="27" t="n">
        <v>0</v>
      </c>
      <c r="G21" s="27" t="n">
        <v>0</v>
      </c>
    </row>
    <row r="22" customFormat="false" ht="15" hidden="false" customHeight="false" outlineLevel="0" collapsed="false">
      <c r="A22" s="24" t="s">
        <v>85</v>
      </c>
      <c r="B22" s="24" t="s">
        <v>35</v>
      </c>
      <c r="C22" s="213" t="n">
        <v>1</v>
      </c>
      <c r="D22" s="213" t="n">
        <v>0</v>
      </c>
      <c r="E22" s="213" t="n">
        <v>2</v>
      </c>
      <c r="F22" s="213" t="n">
        <v>0</v>
      </c>
      <c r="G22" s="213" t="n">
        <v>3</v>
      </c>
    </row>
    <row r="23" customFormat="false" ht="15" hidden="false" customHeight="false" outlineLevel="0" collapsed="false">
      <c r="A23" s="25"/>
      <c r="B23" s="24" t="s">
        <v>36</v>
      </c>
      <c r="C23" s="213" t="n">
        <v>0</v>
      </c>
      <c r="D23" s="213" t="n">
        <v>0</v>
      </c>
      <c r="E23" s="213" t="n">
        <v>0</v>
      </c>
      <c r="F23" s="213" t="n">
        <v>0</v>
      </c>
      <c r="G23" s="213" t="n">
        <v>0</v>
      </c>
    </row>
    <row r="24" customFormat="false" ht="15" hidden="false" customHeight="false" outlineLevel="0" collapsed="false">
      <c r="A24" s="25"/>
      <c r="B24" s="24" t="s">
        <v>37</v>
      </c>
      <c r="C24" s="213" t="n">
        <v>1</v>
      </c>
      <c r="D24" s="213" t="n">
        <v>1</v>
      </c>
      <c r="E24" s="213" t="n">
        <v>1</v>
      </c>
      <c r="F24" s="213" t="n">
        <v>0</v>
      </c>
      <c r="G24" s="213" t="n">
        <v>3</v>
      </c>
    </row>
    <row r="25" customFormat="false" ht="15" hidden="false" customHeight="false" outlineLevel="0" collapsed="false">
      <c r="A25" s="27"/>
      <c r="B25" s="28" t="s">
        <v>22</v>
      </c>
      <c r="C25" s="27" t="n">
        <v>2</v>
      </c>
      <c r="D25" s="27" t="n">
        <v>1</v>
      </c>
      <c r="E25" s="27" t="n">
        <v>3</v>
      </c>
      <c r="F25" s="27" t="n">
        <v>0</v>
      </c>
      <c r="G25" s="27" t="n">
        <v>6</v>
      </c>
    </row>
    <row r="26" customFormat="false" ht="15" hidden="false" customHeight="false" outlineLevel="0" collapsed="false">
      <c r="A26" s="24" t="s">
        <v>86</v>
      </c>
      <c r="B26" s="24" t="s">
        <v>39</v>
      </c>
      <c r="C26" s="213" t="n">
        <v>0</v>
      </c>
      <c r="D26" s="213" t="n">
        <v>0</v>
      </c>
      <c r="E26" s="213" t="n">
        <v>0</v>
      </c>
      <c r="F26" s="213" t="n">
        <v>0</v>
      </c>
      <c r="G26" s="213" t="n">
        <v>0</v>
      </c>
    </row>
    <row r="27" customFormat="false" ht="15" hidden="false" customHeight="false" outlineLevel="0" collapsed="false">
      <c r="A27" s="25"/>
      <c r="B27" s="24" t="s">
        <v>40</v>
      </c>
      <c r="C27" s="213" t="n">
        <v>1</v>
      </c>
      <c r="D27" s="213" t="n">
        <v>0</v>
      </c>
      <c r="E27" s="213" t="n">
        <v>0</v>
      </c>
      <c r="F27" s="213" t="n">
        <v>0</v>
      </c>
      <c r="G27" s="213" t="n">
        <v>1</v>
      </c>
    </row>
    <row r="28" customFormat="false" ht="15" hidden="false" customHeight="false" outlineLevel="0" collapsed="false">
      <c r="A28" s="25"/>
      <c r="B28" s="24" t="s">
        <v>41</v>
      </c>
      <c r="C28" s="213" t="n">
        <v>5</v>
      </c>
      <c r="D28" s="213" t="n">
        <v>6</v>
      </c>
      <c r="E28" s="213" t="n">
        <v>8</v>
      </c>
      <c r="F28" s="213" t="n">
        <v>3</v>
      </c>
      <c r="G28" s="213" t="n">
        <v>22</v>
      </c>
    </row>
    <row r="29" customFormat="false" ht="15" hidden="false" customHeight="false" outlineLevel="0" collapsed="false">
      <c r="A29" s="25"/>
      <c r="B29" s="24" t="s">
        <v>42</v>
      </c>
      <c r="C29" s="213" t="n">
        <v>1</v>
      </c>
      <c r="D29" s="213" t="n">
        <v>0</v>
      </c>
      <c r="E29" s="213" t="n">
        <v>0</v>
      </c>
      <c r="F29" s="213" t="n">
        <v>0</v>
      </c>
      <c r="G29" s="213" t="n">
        <v>1</v>
      </c>
    </row>
    <row r="30" customFormat="false" ht="15" hidden="false" customHeight="false" outlineLevel="0" collapsed="false">
      <c r="A30" s="27"/>
      <c r="B30" s="28" t="s">
        <v>22</v>
      </c>
      <c r="C30" s="27" t="n">
        <v>7</v>
      </c>
      <c r="D30" s="27" t="n">
        <v>6</v>
      </c>
      <c r="E30" s="27" t="n">
        <v>8</v>
      </c>
      <c r="F30" s="27" t="n">
        <v>3</v>
      </c>
      <c r="G30" s="27" t="n">
        <v>24</v>
      </c>
    </row>
    <row r="31" customFormat="false" ht="15" hidden="false" customHeight="false" outlineLevel="0" collapsed="false">
      <c r="A31" s="24" t="s">
        <v>87</v>
      </c>
      <c r="B31" s="24" t="s">
        <v>44</v>
      </c>
      <c r="C31" s="213" t="n">
        <v>6</v>
      </c>
      <c r="D31" s="213" t="n">
        <v>3</v>
      </c>
      <c r="E31" s="213" t="n">
        <v>0</v>
      </c>
      <c r="F31" s="213" t="n">
        <v>2</v>
      </c>
      <c r="G31" s="213" t="n">
        <v>11</v>
      </c>
    </row>
    <row r="32" customFormat="false" ht="15" hidden="false" customHeight="false" outlineLevel="0" collapsed="false">
      <c r="A32" s="25"/>
      <c r="B32" s="24" t="s">
        <v>45</v>
      </c>
      <c r="C32" s="213" t="n">
        <v>0</v>
      </c>
      <c r="D32" s="213" t="n">
        <v>0</v>
      </c>
      <c r="E32" s="213" t="n">
        <v>0</v>
      </c>
      <c r="F32" s="213" t="n">
        <v>0</v>
      </c>
      <c r="G32" s="213" t="n">
        <v>0</v>
      </c>
    </row>
    <row r="33" customFormat="false" ht="15" hidden="false" customHeight="false" outlineLevel="0" collapsed="false">
      <c r="A33" s="25"/>
      <c r="B33" s="24" t="s">
        <v>46</v>
      </c>
      <c r="C33" s="213" t="n">
        <v>25</v>
      </c>
      <c r="D33" s="213" t="n">
        <v>10</v>
      </c>
      <c r="E33" s="213" t="n">
        <v>19</v>
      </c>
      <c r="F33" s="213" t="n">
        <v>9</v>
      </c>
      <c r="G33" s="213" t="n">
        <v>63</v>
      </c>
    </row>
    <row r="34" customFormat="false" ht="15" hidden="false" customHeight="false" outlineLevel="0" collapsed="false">
      <c r="A34" s="27"/>
      <c r="B34" s="28" t="s">
        <v>22</v>
      </c>
      <c r="C34" s="27" t="n">
        <v>31</v>
      </c>
      <c r="D34" s="27" t="n">
        <v>13</v>
      </c>
      <c r="E34" s="27" t="n">
        <v>19</v>
      </c>
      <c r="F34" s="27" t="n">
        <v>11</v>
      </c>
      <c r="G34" s="27" t="n">
        <v>74</v>
      </c>
    </row>
    <row r="35" customFormat="false" ht="15" hidden="false" customHeight="false" outlineLevel="0" collapsed="false">
      <c r="A35" s="24" t="s">
        <v>90</v>
      </c>
      <c r="B35" s="24" t="s">
        <v>91</v>
      </c>
      <c r="C35" s="25" t="n">
        <v>0</v>
      </c>
      <c r="D35" s="213" t="n">
        <v>0</v>
      </c>
      <c r="E35" s="213" t="n">
        <v>0</v>
      </c>
      <c r="F35" s="213" t="n">
        <v>0</v>
      </c>
      <c r="G35" s="213" t="n">
        <v>0</v>
      </c>
    </row>
    <row r="36" customFormat="false" ht="15" hidden="false" customHeight="false" outlineLevel="0" collapsed="false">
      <c r="A36" s="25"/>
      <c r="B36" s="24" t="s">
        <v>92</v>
      </c>
      <c r="C36" s="25" t="n">
        <v>9</v>
      </c>
      <c r="D36" s="213" t="n">
        <v>2</v>
      </c>
      <c r="E36" s="213" t="n">
        <v>6</v>
      </c>
      <c r="F36" s="213" t="n">
        <v>4</v>
      </c>
      <c r="G36" s="213" t="n">
        <v>21</v>
      </c>
    </row>
    <row r="37" customFormat="false" ht="15" hidden="false" customHeight="false" outlineLevel="0" collapsed="false">
      <c r="A37" s="25"/>
      <c r="B37" s="24" t="s">
        <v>93</v>
      </c>
      <c r="C37" s="25" t="n">
        <v>0</v>
      </c>
      <c r="D37" s="213" t="n">
        <v>0</v>
      </c>
      <c r="E37" s="213" t="n">
        <v>0</v>
      </c>
      <c r="F37" s="213" t="n">
        <v>0</v>
      </c>
      <c r="G37" s="213" t="n">
        <v>0</v>
      </c>
    </row>
    <row r="38" customFormat="false" ht="15" hidden="false" customHeight="false" outlineLevel="0" collapsed="false">
      <c r="A38" s="25"/>
      <c r="B38" s="24" t="s">
        <v>94</v>
      </c>
      <c r="C38" s="25" t="n">
        <v>8</v>
      </c>
      <c r="D38" s="213" t="n">
        <v>3</v>
      </c>
      <c r="E38" s="213" t="n">
        <v>5</v>
      </c>
      <c r="F38" s="213" t="n">
        <v>1</v>
      </c>
      <c r="G38" s="213" t="n">
        <v>17</v>
      </c>
    </row>
    <row r="39" customFormat="false" ht="15" hidden="false" customHeight="false" outlineLevel="0" collapsed="false">
      <c r="A39" s="25"/>
      <c r="B39" s="24" t="s">
        <v>95</v>
      </c>
      <c r="C39" s="25" t="n">
        <v>12</v>
      </c>
      <c r="D39" s="213" t="n">
        <v>4</v>
      </c>
      <c r="E39" s="213" t="n">
        <v>9</v>
      </c>
      <c r="F39" s="213" t="n">
        <v>4</v>
      </c>
      <c r="G39" s="213" t="n">
        <v>29</v>
      </c>
    </row>
    <row r="40" customFormat="false" ht="15" hidden="false" customHeight="false" outlineLevel="0" collapsed="false">
      <c r="A40" s="25"/>
      <c r="B40" s="24" t="s">
        <v>96</v>
      </c>
      <c r="C40" s="25" t="n">
        <v>11</v>
      </c>
      <c r="D40" s="213" t="n">
        <v>7</v>
      </c>
      <c r="E40" s="213" t="n">
        <v>9</v>
      </c>
      <c r="F40" s="213" t="n">
        <v>6</v>
      </c>
      <c r="G40" s="213" t="n">
        <v>33</v>
      </c>
    </row>
    <row r="41" customFormat="false" ht="15" hidden="false" customHeight="false" outlineLevel="0" collapsed="false">
      <c r="A41" s="25"/>
      <c r="B41" s="24" t="s">
        <v>97</v>
      </c>
      <c r="C41" s="25" t="n">
        <v>1</v>
      </c>
      <c r="D41" s="213" t="n">
        <v>3</v>
      </c>
      <c r="E41" s="213" t="n">
        <v>0</v>
      </c>
      <c r="F41" s="213" t="n">
        <v>2</v>
      </c>
      <c r="G41" s="213" t="n">
        <v>6</v>
      </c>
    </row>
    <row r="42" customFormat="false" ht="15" hidden="false" customHeight="false" outlineLevel="0" collapsed="false">
      <c r="A42" s="25"/>
      <c r="B42" s="24" t="s">
        <v>98</v>
      </c>
      <c r="C42" s="25" t="n">
        <v>0</v>
      </c>
      <c r="D42" s="213" t="n">
        <v>0</v>
      </c>
      <c r="E42" s="213" t="n">
        <v>0</v>
      </c>
      <c r="F42" s="213" t="n">
        <v>0</v>
      </c>
      <c r="G42" s="213" t="n">
        <v>0</v>
      </c>
    </row>
    <row r="43" customFormat="false" ht="15" hidden="false" customHeight="false" outlineLevel="0" collapsed="false">
      <c r="A43" s="25"/>
      <c r="B43" s="24" t="s">
        <v>99</v>
      </c>
      <c r="C43" s="25" t="n">
        <v>2</v>
      </c>
      <c r="D43" s="213" t="n">
        <v>1</v>
      </c>
      <c r="E43" s="213" t="n">
        <v>3</v>
      </c>
      <c r="F43" s="213" t="n">
        <v>3</v>
      </c>
      <c r="G43" s="213" t="n">
        <v>9</v>
      </c>
    </row>
    <row r="44" customFormat="false" ht="15" hidden="false" customHeight="false" outlineLevel="0" collapsed="false">
      <c r="A44" s="27"/>
      <c r="B44" s="28" t="s">
        <v>22</v>
      </c>
      <c r="C44" s="27" t="n">
        <v>43</v>
      </c>
      <c r="D44" s="27" t="n">
        <v>20</v>
      </c>
      <c r="E44" s="27" t="n">
        <v>32</v>
      </c>
      <c r="F44" s="27" t="n">
        <v>20</v>
      </c>
      <c r="G44" s="27" t="n">
        <v>115</v>
      </c>
    </row>
    <row r="45" customFormat="false" ht="15" hidden="false" customHeight="false" outlineLevel="0" collapsed="false">
      <c r="A45" s="24" t="s">
        <v>100</v>
      </c>
      <c r="B45" s="24" t="s">
        <v>101</v>
      </c>
      <c r="C45" s="213" t="n">
        <v>13</v>
      </c>
      <c r="D45" s="213" t="n">
        <v>7</v>
      </c>
      <c r="E45" s="213" t="n">
        <v>11</v>
      </c>
      <c r="F45" s="213" t="n">
        <v>9</v>
      </c>
      <c r="G45" s="213" t="n">
        <v>40</v>
      </c>
    </row>
    <row r="46" customFormat="false" ht="15" hidden="false" customHeight="false" outlineLevel="0" collapsed="false">
      <c r="A46" s="25"/>
      <c r="B46" s="24" t="s">
        <v>102</v>
      </c>
      <c r="C46" s="213" t="n">
        <v>0</v>
      </c>
      <c r="D46" s="213" t="n">
        <v>0</v>
      </c>
      <c r="E46" s="213" t="n">
        <v>0</v>
      </c>
      <c r="F46" s="213" t="n">
        <v>0</v>
      </c>
      <c r="G46" s="213" t="n">
        <v>0</v>
      </c>
    </row>
    <row r="47" customFormat="false" ht="15" hidden="false" customHeight="false" outlineLevel="0" collapsed="false">
      <c r="A47" s="25"/>
      <c r="B47" s="24" t="s">
        <v>103</v>
      </c>
      <c r="C47" s="213" t="n">
        <v>1</v>
      </c>
      <c r="D47" s="213" t="n">
        <v>0</v>
      </c>
      <c r="E47" s="213" t="n">
        <v>0</v>
      </c>
      <c r="F47" s="213" t="n">
        <v>0</v>
      </c>
      <c r="G47" s="213" t="n">
        <v>1</v>
      </c>
    </row>
    <row r="48" customFormat="false" ht="15" hidden="false" customHeight="false" outlineLevel="0" collapsed="false">
      <c r="A48" s="25"/>
      <c r="B48" s="24" t="s">
        <v>104</v>
      </c>
      <c r="C48" s="213" t="n">
        <v>0</v>
      </c>
      <c r="D48" s="213" t="n">
        <v>0</v>
      </c>
      <c r="E48" s="213" t="n">
        <v>0</v>
      </c>
      <c r="F48" s="213" t="n">
        <v>0</v>
      </c>
      <c r="G48" s="213" t="n">
        <v>0</v>
      </c>
    </row>
    <row r="49" customFormat="false" ht="15" hidden="false" customHeight="false" outlineLevel="0" collapsed="false">
      <c r="A49" s="25"/>
      <c r="B49" s="24" t="s">
        <v>105</v>
      </c>
      <c r="C49" s="213" t="n">
        <v>0</v>
      </c>
      <c r="D49" s="213" t="n">
        <v>0</v>
      </c>
      <c r="E49" s="213" t="n">
        <v>0</v>
      </c>
      <c r="F49" s="213" t="n">
        <v>0</v>
      </c>
      <c r="G49" s="213" t="n">
        <v>0</v>
      </c>
    </row>
    <row r="50" customFormat="false" ht="15" hidden="false" customHeight="false" outlineLevel="0" collapsed="false">
      <c r="A50" s="25"/>
      <c r="B50" s="24" t="s">
        <v>106</v>
      </c>
      <c r="C50" s="213" t="n">
        <v>0</v>
      </c>
      <c r="D50" s="213" t="n">
        <v>0</v>
      </c>
      <c r="E50" s="213" t="n">
        <v>0</v>
      </c>
      <c r="F50" s="213" t="n">
        <v>0</v>
      </c>
      <c r="G50" s="213" t="n">
        <v>0</v>
      </c>
    </row>
    <row r="51" customFormat="false" ht="15" hidden="false" customHeight="false" outlineLevel="0" collapsed="false">
      <c r="A51" s="25"/>
      <c r="B51" s="24" t="s">
        <v>107</v>
      </c>
      <c r="C51" s="213" t="n">
        <v>0</v>
      </c>
      <c r="D51" s="213" t="n">
        <v>0</v>
      </c>
      <c r="E51" s="213" t="n">
        <v>0</v>
      </c>
      <c r="F51" s="213" t="n">
        <v>0</v>
      </c>
      <c r="G51" s="213" t="n">
        <v>0</v>
      </c>
    </row>
    <row r="52" customFormat="false" ht="15" hidden="false" customHeight="false" outlineLevel="0" collapsed="false">
      <c r="A52" s="25"/>
      <c r="B52" s="24" t="s">
        <v>108</v>
      </c>
      <c r="C52" s="213" t="n">
        <v>1</v>
      </c>
      <c r="D52" s="213" t="n">
        <v>0</v>
      </c>
      <c r="E52" s="213" t="n">
        <v>1</v>
      </c>
      <c r="F52" s="213" t="n">
        <v>0</v>
      </c>
      <c r="G52" s="213" t="n">
        <v>2</v>
      </c>
    </row>
    <row r="53" customFormat="false" ht="15" hidden="false" customHeight="false" outlineLevel="0" collapsed="false">
      <c r="A53" s="25"/>
      <c r="B53" s="24" t="s">
        <v>109</v>
      </c>
      <c r="C53" s="213" t="n">
        <v>9</v>
      </c>
      <c r="D53" s="213" t="n">
        <v>9</v>
      </c>
      <c r="E53" s="213" t="n">
        <v>15</v>
      </c>
      <c r="F53" s="213" t="n">
        <v>3</v>
      </c>
      <c r="G53" s="213" t="n">
        <v>36</v>
      </c>
    </row>
    <row r="54" customFormat="false" ht="15" hidden="false" customHeight="false" outlineLevel="0" collapsed="false">
      <c r="A54" s="25"/>
      <c r="B54" s="24" t="s">
        <v>110</v>
      </c>
      <c r="C54" s="213" t="n">
        <v>0</v>
      </c>
      <c r="D54" s="213" t="n">
        <v>4</v>
      </c>
      <c r="E54" s="213" t="n">
        <v>3</v>
      </c>
      <c r="F54" s="213" t="n">
        <v>2</v>
      </c>
      <c r="G54" s="213" t="n">
        <v>9</v>
      </c>
    </row>
    <row r="55" customFormat="false" ht="15" hidden="false" customHeight="false" outlineLevel="0" collapsed="false">
      <c r="A55" s="25"/>
      <c r="B55" s="24" t="s">
        <v>111</v>
      </c>
      <c r="C55" s="213" t="n">
        <v>0</v>
      </c>
      <c r="D55" s="213" t="n">
        <v>0</v>
      </c>
      <c r="E55" s="213" t="n">
        <v>0</v>
      </c>
      <c r="F55" s="213" t="n">
        <v>0</v>
      </c>
      <c r="G55" s="213" t="n">
        <v>0</v>
      </c>
    </row>
    <row r="56" customFormat="false" ht="15" hidden="false" customHeight="false" outlineLevel="0" collapsed="false">
      <c r="A56" s="25"/>
      <c r="B56" s="24" t="s">
        <v>112</v>
      </c>
      <c r="C56" s="213" t="n">
        <v>0</v>
      </c>
      <c r="D56" s="213" t="n">
        <v>0</v>
      </c>
      <c r="E56" s="213" t="n">
        <v>0</v>
      </c>
      <c r="F56" s="213" t="n">
        <v>0</v>
      </c>
      <c r="G56" s="213" t="n">
        <v>0</v>
      </c>
    </row>
    <row r="57" customFormat="false" ht="15" hidden="false" customHeight="false" outlineLevel="0" collapsed="false">
      <c r="A57" s="25"/>
      <c r="B57" s="24" t="s">
        <v>113</v>
      </c>
      <c r="C57" s="213" t="n">
        <v>0</v>
      </c>
      <c r="D57" s="213" t="n">
        <v>0</v>
      </c>
      <c r="E57" s="213" t="n">
        <v>0</v>
      </c>
      <c r="F57" s="213" t="n">
        <v>0</v>
      </c>
      <c r="G57" s="213" t="n">
        <v>0</v>
      </c>
    </row>
    <row r="58" customFormat="false" ht="15" hidden="false" customHeight="false" outlineLevel="0" collapsed="false">
      <c r="A58" s="25"/>
      <c r="B58" s="24" t="s">
        <v>114</v>
      </c>
      <c r="C58" s="213" t="n">
        <v>0</v>
      </c>
      <c r="D58" s="213" t="n">
        <v>0</v>
      </c>
      <c r="E58" s="213" t="n">
        <v>0</v>
      </c>
      <c r="F58" s="213" t="n">
        <v>0</v>
      </c>
      <c r="G58" s="213" t="n">
        <v>0</v>
      </c>
    </row>
    <row r="59" customFormat="false" ht="15" hidden="false" customHeight="false" outlineLevel="0" collapsed="false">
      <c r="A59" s="25"/>
      <c r="B59" s="24" t="s">
        <v>115</v>
      </c>
      <c r="C59" s="213" t="n">
        <v>7</v>
      </c>
      <c r="D59" s="213" t="n">
        <v>3</v>
      </c>
      <c r="E59" s="213" t="n">
        <v>5</v>
      </c>
      <c r="F59" s="213" t="n">
        <v>3</v>
      </c>
      <c r="G59" s="213" t="n">
        <v>18</v>
      </c>
    </row>
    <row r="60" customFormat="false" ht="15" hidden="false" customHeight="false" outlineLevel="0" collapsed="false">
      <c r="A60" s="25"/>
      <c r="B60" s="24" t="s">
        <v>116</v>
      </c>
      <c r="C60" s="213" t="n">
        <v>0</v>
      </c>
      <c r="D60" s="213" t="n">
        <v>0</v>
      </c>
      <c r="E60" s="213" t="n">
        <v>0</v>
      </c>
      <c r="F60" s="213" t="n">
        <v>0</v>
      </c>
      <c r="G60" s="213" t="n">
        <v>0</v>
      </c>
    </row>
    <row r="61" customFormat="false" ht="15" hidden="false" customHeight="false" outlineLevel="0" collapsed="false">
      <c r="A61" s="155"/>
      <c r="B61" s="214" t="s">
        <v>22</v>
      </c>
      <c r="C61" s="27" t="n">
        <v>31</v>
      </c>
      <c r="D61" s="27" t="n">
        <v>23</v>
      </c>
      <c r="E61" s="27" t="n">
        <v>35</v>
      </c>
      <c r="F61" s="27" t="s">
        <v>427</v>
      </c>
      <c r="G61" s="27" t="n">
        <v>106</v>
      </c>
    </row>
    <row r="62" customFormat="false" ht="15" hidden="false" customHeight="false" outlineLevel="0" collapsed="false">
      <c r="A62" s="32"/>
      <c r="B62" s="32" t="s">
        <v>74</v>
      </c>
      <c r="C62" s="26" t="n">
        <v>117</v>
      </c>
      <c r="D62" s="26" t="n">
        <v>66</v>
      </c>
      <c r="E62" s="26" t="n">
        <v>99</v>
      </c>
      <c r="F62" s="26" t="n">
        <v>51</v>
      </c>
      <c r="G62" s="26" t="n">
        <v>333</v>
      </c>
    </row>
    <row r="63" customFormat="false" ht="15" hidden="false" customHeight="false" outlineLevel="0" collapsed="false">
      <c r="A63" s="34" t="s">
        <v>118</v>
      </c>
    </row>
    <row r="64" customFormat="false" ht="15" hidden="false" customHeight="false" outlineLevel="0" collapsed="false">
      <c r="A64" s="2" t="s">
        <v>417</v>
      </c>
    </row>
    <row r="65" customFormat="false" ht="15" hidden="false" customHeight="false" outlineLevel="0" collapsed="false">
      <c r="A65" s="34" t="s">
        <v>428</v>
      </c>
    </row>
    <row r="66" customFormat="false" ht="15" hidden="false" customHeight="false" outlineLevel="0" collapsed="false">
      <c r="A66" s="34" t="s">
        <v>429</v>
      </c>
    </row>
    <row r="67" customFormat="false" ht="15" hidden="false" customHeight="false" outlineLevel="0" collapsed="false">
      <c r="A67" s="34" t="s">
        <v>430</v>
      </c>
    </row>
    <row r="68" customFormat="false" ht="15" hidden="false" customHeight="false" outlineLevel="0" collapsed="false">
      <c r="A68" s="34" t="s">
        <v>431</v>
      </c>
    </row>
    <row r="69" customFormat="false" ht="15" hidden="false" customHeight="false" outlineLevel="0" collapsed="false">
      <c r="A69" s="34" t="s">
        <v>432</v>
      </c>
    </row>
    <row r="75" customFormat="false" ht="15" hidden="false" customHeight="false" outlineLevel="0" collapsed="false">
      <c r="A75" s="35" t="s">
        <v>418</v>
      </c>
      <c r="B75" s="35"/>
      <c r="C75" s="35"/>
      <c r="D75" s="35"/>
      <c r="E75" s="35"/>
      <c r="F75" s="35"/>
      <c r="G75" s="35"/>
    </row>
    <row r="76" customFormat="false" ht="15" hidden="false" customHeight="false" outlineLevel="0" collapsed="false">
      <c r="A76" s="36"/>
      <c r="B76" s="36" t="s">
        <v>1</v>
      </c>
      <c r="C76" s="36" t="s">
        <v>433</v>
      </c>
      <c r="D76" s="205"/>
      <c r="E76" s="205"/>
      <c r="F76" s="205"/>
      <c r="G76" s="205"/>
    </row>
    <row r="77" customFormat="false" ht="15" hidden="false" customHeight="true" outlineLevel="0" collapsed="false">
      <c r="A77" s="23" t="s">
        <v>422</v>
      </c>
      <c r="B77" s="23" t="s">
        <v>121</v>
      </c>
      <c r="C77" s="23" t="s">
        <v>433</v>
      </c>
      <c r="D77" s="216"/>
      <c r="E77" s="216"/>
      <c r="F77" s="216"/>
      <c r="G77" s="216"/>
    </row>
    <row r="78" customFormat="false" ht="15" hidden="false" customHeight="false" outlineLevel="0" collapsed="false">
      <c r="A78" s="23"/>
      <c r="B78" s="23"/>
      <c r="C78" s="23"/>
      <c r="D78" s="216"/>
      <c r="E78" s="216"/>
      <c r="F78" s="216"/>
      <c r="G78" s="216"/>
    </row>
    <row r="79" customFormat="false" ht="15" hidden="false" customHeight="false" outlineLevel="0" collapsed="false">
      <c r="A79" s="23"/>
      <c r="B79" s="23"/>
      <c r="C79" s="23"/>
      <c r="D79" s="216"/>
      <c r="E79" s="216"/>
      <c r="F79" s="216"/>
      <c r="G79" s="216"/>
    </row>
    <row r="80" customFormat="false" ht="15" hidden="false" customHeight="false" outlineLevel="0" collapsed="false">
      <c r="A80" s="24" t="s">
        <v>81</v>
      </c>
      <c r="B80" s="24" t="s">
        <v>18</v>
      </c>
      <c r="C80" s="213" t="n">
        <v>0</v>
      </c>
      <c r="D80" s="217"/>
      <c r="E80" s="217"/>
      <c r="F80" s="217"/>
      <c r="G80" s="217"/>
    </row>
    <row r="81" customFormat="false" ht="15" hidden="false" customHeight="false" outlineLevel="0" collapsed="false">
      <c r="A81" s="26"/>
      <c r="B81" s="24" t="s">
        <v>19</v>
      </c>
      <c r="C81" s="213" t="n">
        <v>0</v>
      </c>
      <c r="D81" s="217"/>
      <c r="E81" s="217"/>
      <c r="F81" s="217"/>
      <c r="G81" s="217"/>
    </row>
    <row r="82" customFormat="false" ht="15" hidden="false" customHeight="false" outlineLevel="0" collapsed="false">
      <c r="A82" s="26"/>
      <c r="B82" s="24" t="s">
        <v>20</v>
      </c>
      <c r="C82" s="213" t="n">
        <v>0</v>
      </c>
      <c r="D82" s="217"/>
      <c r="E82" s="217"/>
      <c r="F82" s="217"/>
      <c r="G82" s="217"/>
    </row>
    <row r="83" customFormat="false" ht="15" hidden="false" customHeight="false" outlineLevel="0" collapsed="false">
      <c r="A83" s="26"/>
      <c r="B83" s="24" t="s">
        <v>21</v>
      </c>
      <c r="C83" s="213" t="n">
        <v>0</v>
      </c>
      <c r="D83" s="217"/>
      <c r="E83" s="217"/>
      <c r="F83" s="217"/>
      <c r="G83" s="217"/>
    </row>
    <row r="84" customFormat="false" ht="15" hidden="false" customHeight="false" outlineLevel="0" collapsed="false">
      <c r="A84" s="27"/>
      <c r="B84" s="28" t="s">
        <v>22</v>
      </c>
      <c r="C84" s="27" t="n">
        <v>0</v>
      </c>
      <c r="D84" s="216"/>
      <c r="E84" s="216"/>
      <c r="F84" s="216"/>
      <c r="G84" s="216"/>
    </row>
    <row r="85" customFormat="false" ht="15" hidden="false" customHeight="false" outlineLevel="0" collapsed="false">
      <c r="A85" s="24" t="s">
        <v>82</v>
      </c>
      <c r="B85" s="24" t="s">
        <v>24</v>
      </c>
      <c r="C85" s="25" t="n">
        <v>0</v>
      </c>
      <c r="D85" s="217"/>
      <c r="E85" s="217"/>
      <c r="F85" s="217"/>
      <c r="G85" s="217"/>
    </row>
    <row r="86" customFormat="false" ht="15" hidden="false" customHeight="false" outlineLevel="0" collapsed="false">
      <c r="A86" s="29"/>
      <c r="B86" s="24" t="s">
        <v>25</v>
      </c>
      <c r="C86" s="25" t="n">
        <v>1</v>
      </c>
      <c r="D86" s="217"/>
      <c r="E86" s="217"/>
      <c r="F86" s="217"/>
      <c r="G86" s="217"/>
    </row>
    <row r="87" customFormat="false" ht="15" hidden="false" customHeight="false" outlineLevel="0" collapsed="false">
      <c r="A87" s="29"/>
      <c r="B87" s="24" t="s">
        <v>26</v>
      </c>
      <c r="C87" s="25" t="n">
        <v>0</v>
      </c>
      <c r="D87" s="217"/>
      <c r="E87" s="217"/>
      <c r="F87" s="217"/>
      <c r="G87" s="217"/>
    </row>
    <row r="88" customFormat="false" ht="15" hidden="false" customHeight="false" outlineLevel="0" collapsed="false">
      <c r="A88" s="29"/>
      <c r="B88" s="24" t="s">
        <v>27</v>
      </c>
      <c r="C88" s="25" t="n">
        <v>2</v>
      </c>
      <c r="D88" s="217"/>
      <c r="E88" s="217"/>
      <c r="F88" s="217"/>
      <c r="G88" s="217"/>
    </row>
    <row r="89" customFormat="false" ht="15" hidden="false" customHeight="false" outlineLevel="0" collapsed="false">
      <c r="A89" s="27"/>
      <c r="B89" s="28" t="s">
        <v>22</v>
      </c>
      <c r="C89" s="27" t="n">
        <v>3</v>
      </c>
      <c r="D89" s="216"/>
      <c r="E89" s="216"/>
      <c r="F89" s="216"/>
      <c r="G89" s="216"/>
    </row>
    <row r="90" customFormat="false" ht="15" hidden="false" customHeight="false" outlineLevel="0" collapsed="false">
      <c r="A90" s="24" t="s">
        <v>83</v>
      </c>
      <c r="B90" s="24" t="s">
        <v>29</v>
      </c>
      <c r="C90" s="213" t="n">
        <v>0</v>
      </c>
      <c r="D90" s="217"/>
      <c r="E90" s="217"/>
      <c r="F90" s="217"/>
      <c r="G90" s="217"/>
    </row>
    <row r="91" customFormat="false" ht="15" hidden="false" customHeight="false" outlineLevel="0" collapsed="false">
      <c r="A91" s="27"/>
      <c r="B91" s="28" t="s">
        <v>22</v>
      </c>
      <c r="C91" s="27" t="n">
        <v>0</v>
      </c>
      <c r="D91" s="216"/>
      <c r="E91" s="216"/>
      <c r="F91" s="216"/>
      <c r="G91" s="216"/>
    </row>
    <row r="92" customFormat="false" ht="15" hidden="false" customHeight="false" outlineLevel="0" collapsed="false">
      <c r="A92" s="24" t="s">
        <v>84</v>
      </c>
      <c r="B92" s="24" t="s">
        <v>31</v>
      </c>
      <c r="C92" s="213" t="n">
        <v>0</v>
      </c>
      <c r="D92" s="217"/>
      <c r="E92" s="217"/>
      <c r="F92" s="217"/>
      <c r="G92" s="217"/>
    </row>
    <row r="93" customFormat="false" ht="15" hidden="false" customHeight="false" outlineLevel="0" collapsed="false">
      <c r="A93" s="25"/>
      <c r="B93" s="24" t="s">
        <v>32</v>
      </c>
      <c r="C93" s="213" t="n">
        <v>0</v>
      </c>
      <c r="D93" s="217"/>
      <c r="E93" s="217"/>
      <c r="F93" s="217"/>
      <c r="G93" s="217"/>
    </row>
    <row r="94" customFormat="false" ht="15" hidden="false" customHeight="false" outlineLevel="0" collapsed="false">
      <c r="A94" s="25"/>
      <c r="B94" s="24" t="s">
        <v>33</v>
      </c>
      <c r="C94" s="213" t="n">
        <v>0</v>
      </c>
      <c r="D94" s="217"/>
      <c r="E94" s="217"/>
      <c r="F94" s="217"/>
      <c r="G94" s="217"/>
    </row>
    <row r="95" customFormat="false" ht="15" hidden="false" customHeight="false" outlineLevel="0" collapsed="false">
      <c r="A95" s="27"/>
      <c r="B95" s="28" t="s">
        <v>22</v>
      </c>
      <c r="C95" s="27" t="n">
        <v>0</v>
      </c>
      <c r="D95" s="216"/>
      <c r="E95" s="216"/>
      <c r="F95" s="216"/>
      <c r="G95" s="216"/>
    </row>
    <row r="96" customFormat="false" ht="15" hidden="false" customHeight="false" outlineLevel="0" collapsed="false">
      <c r="A96" s="24" t="s">
        <v>85</v>
      </c>
      <c r="B96" s="24" t="s">
        <v>35</v>
      </c>
      <c r="C96" s="213" t="n">
        <v>1</v>
      </c>
      <c r="D96" s="217"/>
      <c r="E96" s="217"/>
      <c r="F96" s="217"/>
      <c r="G96" s="217"/>
    </row>
    <row r="97" customFormat="false" ht="15" hidden="false" customHeight="false" outlineLevel="0" collapsed="false">
      <c r="A97" s="25"/>
      <c r="B97" s="24" t="s">
        <v>36</v>
      </c>
      <c r="C97" s="213" t="n">
        <v>0</v>
      </c>
      <c r="D97" s="217"/>
      <c r="E97" s="217"/>
      <c r="F97" s="217"/>
      <c r="G97" s="217"/>
    </row>
    <row r="98" customFormat="false" ht="15" hidden="false" customHeight="false" outlineLevel="0" collapsed="false">
      <c r="A98" s="25"/>
      <c r="B98" s="24" t="s">
        <v>37</v>
      </c>
      <c r="C98" s="213" t="n">
        <v>1</v>
      </c>
      <c r="D98" s="217"/>
      <c r="E98" s="217"/>
      <c r="F98" s="217"/>
      <c r="G98" s="217"/>
    </row>
    <row r="99" customFormat="false" ht="15" hidden="false" customHeight="false" outlineLevel="0" collapsed="false">
      <c r="A99" s="27"/>
      <c r="B99" s="28" t="s">
        <v>22</v>
      </c>
      <c r="C99" s="27" t="n">
        <v>2</v>
      </c>
      <c r="D99" s="216"/>
      <c r="E99" s="216"/>
      <c r="F99" s="216"/>
      <c r="G99" s="216"/>
    </row>
    <row r="100" customFormat="false" ht="15" hidden="false" customHeight="false" outlineLevel="0" collapsed="false">
      <c r="A100" s="24" t="s">
        <v>86</v>
      </c>
      <c r="B100" s="24" t="s">
        <v>39</v>
      </c>
      <c r="C100" s="213" t="n">
        <v>0</v>
      </c>
      <c r="D100" s="217"/>
      <c r="E100" s="217"/>
      <c r="F100" s="217"/>
      <c r="G100" s="217"/>
    </row>
    <row r="101" customFormat="false" ht="15" hidden="false" customHeight="false" outlineLevel="0" collapsed="false">
      <c r="A101" s="25"/>
      <c r="B101" s="24" t="s">
        <v>40</v>
      </c>
      <c r="C101" s="213" t="n">
        <v>1</v>
      </c>
      <c r="D101" s="217"/>
      <c r="E101" s="217"/>
      <c r="F101" s="217"/>
      <c r="G101" s="217"/>
    </row>
    <row r="102" customFormat="false" ht="15" hidden="false" customHeight="false" outlineLevel="0" collapsed="false">
      <c r="A102" s="25"/>
      <c r="B102" s="24" t="s">
        <v>41</v>
      </c>
      <c r="C102" s="213" t="n">
        <v>5</v>
      </c>
      <c r="D102" s="217"/>
      <c r="E102" s="217"/>
      <c r="F102" s="217"/>
      <c r="G102" s="217"/>
    </row>
    <row r="103" customFormat="false" ht="15" hidden="false" customHeight="false" outlineLevel="0" collapsed="false">
      <c r="A103" s="25"/>
      <c r="B103" s="24" t="s">
        <v>42</v>
      </c>
      <c r="C103" s="213" t="n">
        <v>1</v>
      </c>
      <c r="D103" s="217"/>
      <c r="E103" s="217"/>
      <c r="F103" s="217"/>
      <c r="G103" s="217"/>
    </row>
    <row r="104" customFormat="false" ht="15" hidden="false" customHeight="false" outlineLevel="0" collapsed="false">
      <c r="A104" s="27"/>
      <c r="B104" s="28" t="s">
        <v>22</v>
      </c>
      <c r="C104" s="27" t="n">
        <v>7</v>
      </c>
      <c r="D104" s="216"/>
      <c r="E104" s="216"/>
      <c r="F104" s="216"/>
      <c r="G104" s="216"/>
    </row>
    <row r="105" customFormat="false" ht="15" hidden="false" customHeight="false" outlineLevel="0" collapsed="false">
      <c r="A105" s="24" t="s">
        <v>87</v>
      </c>
      <c r="B105" s="24" t="s">
        <v>44</v>
      </c>
      <c r="C105" s="213" t="n">
        <v>6</v>
      </c>
      <c r="D105" s="217"/>
      <c r="E105" s="217"/>
      <c r="F105" s="217"/>
      <c r="G105" s="217"/>
    </row>
    <row r="106" customFormat="false" ht="15" hidden="false" customHeight="false" outlineLevel="0" collapsed="false">
      <c r="A106" s="25"/>
      <c r="B106" s="24" t="s">
        <v>45</v>
      </c>
      <c r="C106" s="213" t="n">
        <v>0</v>
      </c>
      <c r="D106" s="217"/>
      <c r="E106" s="217"/>
      <c r="F106" s="217"/>
      <c r="G106" s="217"/>
    </row>
    <row r="107" customFormat="false" ht="15" hidden="false" customHeight="false" outlineLevel="0" collapsed="false">
      <c r="A107" s="25"/>
      <c r="B107" s="24" t="s">
        <v>46</v>
      </c>
      <c r="C107" s="213" t="n">
        <v>25</v>
      </c>
      <c r="D107" s="217"/>
      <c r="E107" s="217"/>
      <c r="F107" s="217"/>
      <c r="G107" s="217"/>
    </row>
    <row r="108" customFormat="false" ht="15" hidden="false" customHeight="false" outlineLevel="0" collapsed="false">
      <c r="A108" s="27"/>
      <c r="B108" s="28" t="s">
        <v>22</v>
      </c>
      <c r="C108" s="27" t="n">
        <v>31</v>
      </c>
      <c r="D108" s="216"/>
      <c r="E108" s="216"/>
      <c r="F108" s="216"/>
      <c r="G108" s="216"/>
    </row>
    <row r="109" customFormat="false" ht="15" hidden="false" customHeight="false" outlineLevel="0" collapsed="false">
      <c r="A109" s="24" t="s">
        <v>90</v>
      </c>
      <c r="B109" s="24" t="s">
        <v>91</v>
      </c>
      <c r="C109" s="25" t="n">
        <v>0</v>
      </c>
      <c r="D109" s="217"/>
      <c r="E109" s="217"/>
      <c r="F109" s="217"/>
      <c r="G109" s="217"/>
    </row>
    <row r="110" customFormat="false" ht="15" hidden="false" customHeight="false" outlineLevel="0" collapsed="false">
      <c r="A110" s="25"/>
      <c r="B110" s="24" t="s">
        <v>92</v>
      </c>
      <c r="C110" s="25" t="n">
        <v>9</v>
      </c>
      <c r="D110" s="217"/>
      <c r="E110" s="217"/>
      <c r="F110" s="217"/>
      <c r="G110" s="217"/>
    </row>
    <row r="111" customFormat="false" ht="15" hidden="false" customHeight="false" outlineLevel="0" collapsed="false">
      <c r="A111" s="25"/>
      <c r="B111" s="24" t="s">
        <v>93</v>
      </c>
      <c r="C111" s="25" t="n">
        <v>0</v>
      </c>
      <c r="D111" s="217"/>
      <c r="E111" s="217"/>
      <c r="F111" s="217"/>
      <c r="G111" s="217"/>
    </row>
    <row r="112" customFormat="false" ht="15" hidden="false" customHeight="false" outlineLevel="0" collapsed="false">
      <c r="A112" s="25"/>
      <c r="B112" s="24" t="s">
        <v>94</v>
      </c>
      <c r="C112" s="25" t="n">
        <v>8</v>
      </c>
      <c r="D112" s="217"/>
      <c r="E112" s="217"/>
      <c r="F112" s="217"/>
      <c r="G112" s="217"/>
    </row>
    <row r="113" customFormat="false" ht="15" hidden="false" customHeight="false" outlineLevel="0" collapsed="false">
      <c r="A113" s="25"/>
      <c r="B113" s="24" t="s">
        <v>95</v>
      </c>
      <c r="C113" s="25" t="n">
        <v>12</v>
      </c>
      <c r="D113" s="217"/>
      <c r="E113" s="217"/>
      <c r="F113" s="217"/>
      <c r="G113" s="217"/>
    </row>
    <row r="114" customFormat="false" ht="15" hidden="false" customHeight="false" outlineLevel="0" collapsed="false">
      <c r="A114" s="25"/>
      <c r="B114" s="24" t="s">
        <v>96</v>
      </c>
      <c r="C114" s="25" t="n">
        <v>11</v>
      </c>
      <c r="D114" s="217"/>
      <c r="E114" s="217"/>
      <c r="F114" s="217"/>
      <c r="G114" s="217"/>
    </row>
    <row r="115" customFormat="false" ht="15" hidden="false" customHeight="false" outlineLevel="0" collapsed="false">
      <c r="A115" s="25"/>
      <c r="B115" s="24" t="s">
        <v>97</v>
      </c>
      <c r="C115" s="25" t="n">
        <v>1</v>
      </c>
      <c r="D115" s="217"/>
      <c r="E115" s="217"/>
      <c r="F115" s="217"/>
      <c r="G115" s="217"/>
    </row>
    <row r="116" customFormat="false" ht="15" hidden="false" customHeight="false" outlineLevel="0" collapsed="false">
      <c r="A116" s="25"/>
      <c r="B116" s="24" t="s">
        <v>98</v>
      </c>
      <c r="C116" s="25" t="n">
        <v>0</v>
      </c>
      <c r="D116" s="217"/>
      <c r="E116" s="217"/>
      <c r="F116" s="217"/>
      <c r="G116" s="217"/>
    </row>
    <row r="117" customFormat="false" ht="15" hidden="false" customHeight="false" outlineLevel="0" collapsed="false">
      <c r="A117" s="25"/>
      <c r="B117" s="24" t="s">
        <v>99</v>
      </c>
      <c r="C117" s="25" t="n">
        <v>2</v>
      </c>
      <c r="D117" s="217"/>
      <c r="E117" s="217"/>
      <c r="F117" s="217"/>
      <c r="G117" s="217"/>
    </row>
    <row r="118" customFormat="false" ht="15" hidden="false" customHeight="false" outlineLevel="0" collapsed="false">
      <c r="A118" s="27"/>
      <c r="B118" s="28" t="s">
        <v>22</v>
      </c>
      <c r="C118" s="27" t="n">
        <v>43</v>
      </c>
      <c r="D118" s="216"/>
      <c r="E118" s="216"/>
      <c r="F118" s="216"/>
      <c r="G118" s="216"/>
    </row>
    <row r="119" customFormat="false" ht="15" hidden="false" customHeight="false" outlineLevel="0" collapsed="false">
      <c r="A119" s="24" t="s">
        <v>100</v>
      </c>
      <c r="B119" s="24" t="s">
        <v>101</v>
      </c>
      <c r="C119" s="213" t="n">
        <v>13</v>
      </c>
      <c r="D119" s="217"/>
      <c r="E119" s="217"/>
      <c r="F119" s="217"/>
      <c r="G119" s="217"/>
    </row>
    <row r="120" customFormat="false" ht="15" hidden="false" customHeight="false" outlineLevel="0" collapsed="false">
      <c r="A120" s="25"/>
      <c r="B120" s="24" t="s">
        <v>102</v>
      </c>
      <c r="C120" s="213" t="n">
        <v>0</v>
      </c>
      <c r="D120" s="217"/>
      <c r="E120" s="217"/>
      <c r="F120" s="217"/>
      <c r="G120" s="217"/>
    </row>
    <row r="121" customFormat="false" ht="15" hidden="false" customHeight="false" outlineLevel="0" collapsed="false">
      <c r="A121" s="25"/>
      <c r="B121" s="24" t="s">
        <v>103</v>
      </c>
      <c r="C121" s="213" t="n">
        <v>1</v>
      </c>
      <c r="D121" s="217"/>
      <c r="E121" s="217"/>
      <c r="F121" s="217"/>
      <c r="G121" s="217"/>
    </row>
    <row r="122" customFormat="false" ht="15" hidden="false" customHeight="false" outlineLevel="0" collapsed="false">
      <c r="A122" s="25"/>
      <c r="B122" s="24" t="s">
        <v>104</v>
      </c>
      <c r="C122" s="213" t="n">
        <v>0</v>
      </c>
      <c r="D122" s="217"/>
      <c r="E122" s="217"/>
      <c r="F122" s="217"/>
      <c r="G122" s="217"/>
    </row>
    <row r="123" customFormat="false" ht="15" hidden="false" customHeight="false" outlineLevel="0" collapsed="false">
      <c r="A123" s="25"/>
      <c r="B123" s="24" t="s">
        <v>105</v>
      </c>
      <c r="C123" s="213" t="n">
        <v>0</v>
      </c>
      <c r="D123" s="217"/>
      <c r="E123" s="217"/>
      <c r="F123" s="217"/>
      <c r="G123" s="217"/>
    </row>
    <row r="124" customFormat="false" ht="15" hidden="false" customHeight="false" outlineLevel="0" collapsed="false">
      <c r="A124" s="25"/>
      <c r="B124" s="24" t="s">
        <v>106</v>
      </c>
      <c r="C124" s="213" t="n">
        <v>0</v>
      </c>
      <c r="D124" s="217"/>
      <c r="E124" s="217"/>
      <c r="F124" s="217"/>
      <c r="G124" s="217"/>
    </row>
    <row r="125" customFormat="false" ht="15" hidden="false" customHeight="false" outlineLevel="0" collapsed="false">
      <c r="A125" s="25"/>
      <c r="B125" s="24" t="s">
        <v>107</v>
      </c>
      <c r="C125" s="213" t="n">
        <v>0</v>
      </c>
      <c r="D125" s="217"/>
      <c r="E125" s="217"/>
      <c r="F125" s="217"/>
      <c r="G125" s="217"/>
    </row>
    <row r="126" customFormat="false" ht="15" hidden="false" customHeight="false" outlineLevel="0" collapsed="false">
      <c r="A126" s="25"/>
      <c r="B126" s="24" t="s">
        <v>108</v>
      </c>
      <c r="C126" s="213" t="n">
        <v>1</v>
      </c>
      <c r="D126" s="217"/>
      <c r="E126" s="217"/>
      <c r="F126" s="217"/>
      <c r="G126" s="217"/>
    </row>
    <row r="127" customFormat="false" ht="15" hidden="false" customHeight="false" outlineLevel="0" collapsed="false">
      <c r="A127" s="25"/>
      <c r="B127" s="24" t="s">
        <v>109</v>
      </c>
      <c r="C127" s="213" t="n">
        <v>9</v>
      </c>
      <c r="D127" s="217"/>
      <c r="E127" s="217"/>
      <c r="F127" s="217"/>
      <c r="G127" s="217"/>
    </row>
    <row r="128" customFormat="false" ht="15" hidden="false" customHeight="false" outlineLevel="0" collapsed="false">
      <c r="A128" s="25"/>
      <c r="B128" s="24" t="s">
        <v>110</v>
      </c>
      <c r="C128" s="213" t="n">
        <v>0</v>
      </c>
      <c r="D128" s="217"/>
      <c r="E128" s="217"/>
      <c r="F128" s="217"/>
      <c r="G128" s="217"/>
    </row>
    <row r="129" customFormat="false" ht="15" hidden="false" customHeight="false" outlineLevel="0" collapsed="false">
      <c r="A129" s="25"/>
      <c r="B129" s="24" t="s">
        <v>111</v>
      </c>
      <c r="C129" s="213" t="n">
        <v>0</v>
      </c>
      <c r="D129" s="217"/>
      <c r="E129" s="217"/>
      <c r="F129" s="217"/>
      <c r="G129" s="217"/>
    </row>
    <row r="130" customFormat="false" ht="15" hidden="false" customHeight="false" outlineLevel="0" collapsed="false">
      <c r="A130" s="25"/>
      <c r="B130" s="24" t="s">
        <v>112</v>
      </c>
      <c r="C130" s="213" t="n">
        <v>0</v>
      </c>
      <c r="D130" s="217"/>
      <c r="E130" s="217"/>
      <c r="F130" s="217"/>
      <c r="G130" s="217"/>
    </row>
    <row r="131" customFormat="false" ht="15" hidden="false" customHeight="false" outlineLevel="0" collapsed="false">
      <c r="A131" s="25"/>
      <c r="B131" s="24" t="s">
        <v>113</v>
      </c>
      <c r="C131" s="213" t="n">
        <v>0</v>
      </c>
      <c r="D131" s="217"/>
      <c r="E131" s="217"/>
      <c r="F131" s="217"/>
      <c r="G131" s="217"/>
    </row>
    <row r="132" customFormat="false" ht="15" hidden="false" customHeight="false" outlineLevel="0" collapsed="false">
      <c r="A132" s="25"/>
      <c r="B132" s="24" t="s">
        <v>114</v>
      </c>
      <c r="C132" s="213" t="n">
        <v>0</v>
      </c>
      <c r="D132" s="217"/>
      <c r="E132" s="217"/>
      <c r="F132" s="217"/>
      <c r="G132" s="217"/>
    </row>
    <row r="133" customFormat="false" ht="15" hidden="false" customHeight="false" outlineLevel="0" collapsed="false">
      <c r="A133" s="25"/>
      <c r="B133" s="24" t="s">
        <v>115</v>
      </c>
      <c r="C133" s="213" t="n">
        <v>7</v>
      </c>
      <c r="D133" s="217"/>
      <c r="E133" s="217"/>
      <c r="F133" s="217"/>
      <c r="G133" s="217"/>
    </row>
    <row r="134" customFormat="false" ht="15" hidden="false" customHeight="false" outlineLevel="0" collapsed="false">
      <c r="A134" s="25"/>
      <c r="B134" s="24" t="s">
        <v>116</v>
      </c>
      <c r="C134" s="213" t="n">
        <v>0</v>
      </c>
      <c r="D134" s="217"/>
      <c r="E134" s="217"/>
      <c r="F134" s="217"/>
      <c r="G134" s="217"/>
    </row>
    <row r="135" customFormat="false" ht="15" hidden="false" customHeight="false" outlineLevel="0" collapsed="false">
      <c r="A135" s="155"/>
      <c r="B135" s="214" t="s">
        <v>22</v>
      </c>
      <c r="C135" s="27" t="n">
        <v>31</v>
      </c>
      <c r="D135" s="216"/>
      <c r="E135" s="216"/>
      <c r="F135" s="216"/>
      <c r="G135" s="216"/>
    </row>
    <row r="136" customFormat="false" ht="15" hidden="false" customHeight="false" outlineLevel="0" collapsed="false">
      <c r="A136" s="32"/>
      <c r="B136" s="32" t="s">
        <v>74</v>
      </c>
      <c r="C136" s="26" t="n">
        <v>117</v>
      </c>
      <c r="D136" s="216"/>
      <c r="E136" s="216"/>
      <c r="F136" s="216"/>
      <c r="G136" s="216"/>
    </row>
    <row r="137" customFormat="false" ht="15" hidden="false" customHeight="false" outlineLevel="0" collapsed="false">
      <c r="A137" s="34" t="s">
        <v>118</v>
      </c>
      <c r="D137" s="199"/>
      <c r="E137" s="199"/>
      <c r="F137" s="199"/>
      <c r="G137" s="199"/>
    </row>
  </sheetData>
  <mergeCells count="16">
    <mergeCell ref="A1:G1"/>
    <mergeCell ref="A3:A5"/>
    <mergeCell ref="B3:B5"/>
    <mergeCell ref="C3:C5"/>
    <mergeCell ref="D3:D5"/>
    <mergeCell ref="E3:E5"/>
    <mergeCell ref="F3:F5"/>
    <mergeCell ref="G3:G5"/>
    <mergeCell ref="A75:G75"/>
    <mergeCell ref="A77:A79"/>
    <mergeCell ref="B77:B79"/>
    <mergeCell ref="C77:C79"/>
    <mergeCell ref="D77:D79"/>
    <mergeCell ref="E77:E79"/>
    <mergeCell ref="F77:F79"/>
    <mergeCell ref="G77:G7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3"/>
  <sheetViews>
    <sheetView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A64" activeCellId="0" sqref="A64"/>
    </sheetView>
  </sheetViews>
  <sheetFormatPr defaultRowHeight="15" outlineLevelRow="0" outlineLevelCol="0"/>
  <cols>
    <col collapsed="false" customWidth="true" hidden="false" outlineLevel="0" max="7" min="1" style="0" width="8.67"/>
    <col collapsed="false" customWidth="true" hidden="false" outlineLevel="0" max="8" min="8" style="0" width="12.71"/>
    <col collapsed="false" customWidth="true" hidden="false" outlineLevel="0" max="1025" min="9" style="0" width="8.67"/>
  </cols>
  <sheetData>
    <row r="1" customFormat="false" ht="15" hidden="false" customHeight="false" outlineLevel="0" collapsed="false">
      <c r="A1" s="35" t="s">
        <v>434</v>
      </c>
      <c r="B1" s="35"/>
      <c r="C1" s="35"/>
      <c r="D1" s="35"/>
      <c r="E1" s="35"/>
      <c r="F1" s="35"/>
      <c r="G1" s="35"/>
    </row>
    <row r="2" customFormat="false" ht="15" hidden="false" customHeight="false" outlineLevel="0" collapsed="false">
      <c r="A2" s="36"/>
      <c r="B2" s="36" t="s">
        <v>1</v>
      </c>
      <c r="C2" s="36" t="s">
        <v>419</v>
      </c>
      <c r="D2" s="36" t="s">
        <v>420</v>
      </c>
      <c r="E2" s="36" t="s">
        <v>421</v>
      </c>
      <c r="F2" s="36" t="s">
        <v>410</v>
      </c>
      <c r="G2" s="36"/>
    </row>
    <row r="3" customFormat="false" ht="15" hidden="false" customHeight="true" outlineLevel="0" collapsed="false">
      <c r="A3" s="23" t="s">
        <v>422</v>
      </c>
      <c r="B3" s="23" t="s">
        <v>121</v>
      </c>
      <c r="C3" s="23" t="s">
        <v>435</v>
      </c>
      <c r="D3" s="23" t="s">
        <v>436</v>
      </c>
      <c r="E3" s="23" t="s">
        <v>437</v>
      </c>
      <c r="F3" s="23" t="s">
        <v>438</v>
      </c>
      <c r="G3" s="23" t="s">
        <v>439</v>
      </c>
      <c r="H3" s="218" t="s">
        <v>440</v>
      </c>
    </row>
    <row r="4" customFormat="false" ht="15" hidden="false" customHeight="false" outlineLevel="0" collapsed="false">
      <c r="A4" s="23"/>
      <c r="B4" s="23"/>
      <c r="C4" s="23"/>
      <c r="D4" s="23"/>
      <c r="E4" s="23"/>
      <c r="F4" s="23"/>
      <c r="G4" s="23"/>
      <c r="H4" s="218"/>
    </row>
    <row r="5" customFormat="false" ht="15" hidden="false" customHeight="false" outlineLevel="0" collapsed="false">
      <c r="A5" s="23"/>
      <c r="B5" s="23"/>
      <c r="C5" s="23"/>
      <c r="D5" s="23"/>
      <c r="E5" s="23"/>
      <c r="F5" s="23"/>
      <c r="G5" s="23"/>
      <c r="H5" s="218"/>
    </row>
    <row r="6" customFormat="false" ht="15" hidden="false" customHeight="false" outlineLevel="0" collapsed="false">
      <c r="A6" s="24" t="s">
        <v>81</v>
      </c>
      <c r="B6" s="24" t="s">
        <v>18</v>
      </c>
      <c r="C6" s="213" t="n">
        <v>0</v>
      </c>
      <c r="D6" s="213" t="n">
        <v>0</v>
      </c>
      <c r="E6" s="213" t="n">
        <v>0</v>
      </c>
      <c r="F6" s="213" t="n">
        <v>0</v>
      </c>
      <c r="G6" s="213" t="n">
        <v>0</v>
      </c>
    </row>
    <row r="7" customFormat="false" ht="15" hidden="false" customHeight="false" outlineLevel="0" collapsed="false">
      <c r="A7" s="26"/>
      <c r="B7" s="24" t="s">
        <v>19</v>
      </c>
      <c r="C7" s="213" t="n">
        <v>0</v>
      </c>
      <c r="D7" s="213" t="n">
        <v>1</v>
      </c>
      <c r="E7" s="213" t="n">
        <v>0</v>
      </c>
      <c r="F7" s="213" t="n">
        <v>0</v>
      </c>
      <c r="G7" s="213" t="n">
        <v>1</v>
      </c>
    </row>
    <row r="8" customFormat="false" ht="15" hidden="false" customHeight="false" outlineLevel="0" collapsed="false">
      <c r="A8" s="26"/>
      <c r="B8" s="24" t="s">
        <v>20</v>
      </c>
      <c r="C8" s="213" t="n">
        <v>0</v>
      </c>
      <c r="D8" s="213" t="n">
        <v>0</v>
      </c>
      <c r="E8" s="213" t="n">
        <v>0</v>
      </c>
      <c r="F8" s="213" t="n">
        <v>0</v>
      </c>
      <c r="G8" s="213" t="n">
        <v>0</v>
      </c>
    </row>
    <row r="9" customFormat="false" ht="15" hidden="false" customHeight="false" outlineLevel="0" collapsed="false">
      <c r="A9" s="26"/>
      <c r="B9" s="24" t="s">
        <v>21</v>
      </c>
      <c r="C9" s="213" t="n">
        <v>0</v>
      </c>
      <c r="D9" s="213" t="n">
        <v>0</v>
      </c>
      <c r="E9" s="213" t="n">
        <v>1</v>
      </c>
      <c r="F9" s="213" t="n">
        <v>0</v>
      </c>
      <c r="G9" s="213" t="n">
        <v>1</v>
      </c>
    </row>
    <row r="10" customFormat="false" ht="15" hidden="false" customHeight="false" outlineLevel="0" collapsed="false">
      <c r="A10" s="27"/>
      <c r="B10" s="28" t="s">
        <v>22</v>
      </c>
      <c r="C10" s="27" t="n">
        <v>0</v>
      </c>
      <c r="D10" s="27" t="n">
        <v>1</v>
      </c>
      <c r="E10" s="27" t="n">
        <v>1</v>
      </c>
      <c r="F10" s="27" t="n">
        <v>0</v>
      </c>
      <c r="G10" s="27" t="n">
        <v>2</v>
      </c>
    </row>
    <row r="11" customFormat="false" ht="15" hidden="false" customHeight="false" outlineLevel="0" collapsed="false">
      <c r="A11" s="24" t="s">
        <v>82</v>
      </c>
      <c r="B11" s="24" t="s">
        <v>24</v>
      </c>
      <c r="C11" s="25" t="n">
        <v>0</v>
      </c>
      <c r="D11" s="213" t="n">
        <v>0</v>
      </c>
      <c r="E11" s="213" t="n">
        <v>0</v>
      </c>
      <c r="F11" s="213" t="n">
        <v>0</v>
      </c>
      <c r="G11" s="213" t="n">
        <v>0</v>
      </c>
    </row>
    <row r="12" customFormat="false" ht="15" hidden="false" customHeight="false" outlineLevel="0" collapsed="false">
      <c r="A12" s="29"/>
      <c r="B12" s="24" t="s">
        <v>25</v>
      </c>
      <c r="C12" s="25" t="n">
        <v>1</v>
      </c>
      <c r="D12" s="213" t="n">
        <v>1</v>
      </c>
      <c r="E12" s="213" t="n">
        <v>0</v>
      </c>
      <c r="F12" s="213" t="n">
        <v>0</v>
      </c>
      <c r="G12" s="213" t="n">
        <v>2</v>
      </c>
    </row>
    <row r="13" customFormat="false" ht="15" hidden="false" customHeight="false" outlineLevel="0" collapsed="false">
      <c r="A13" s="29"/>
      <c r="B13" s="24" t="s">
        <v>26</v>
      </c>
      <c r="C13" s="25" t="n">
        <v>0</v>
      </c>
      <c r="D13" s="213" t="n">
        <v>0</v>
      </c>
      <c r="E13" s="213" t="n">
        <v>0</v>
      </c>
      <c r="F13" s="213" t="n">
        <v>0</v>
      </c>
      <c r="G13" s="213" t="n">
        <v>0</v>
      </c>
    </row>
    <row r="14" customFormat="false" ht="15" hidden="false" customHeight="false" outlineLevel="0" collapsed="false">
      <c r="A14" s="29"/>
      <c r="B14" s="24" t="s">
        <v>27</v>
      </c>
      <c r="C14" s="25" t="n">
        <v>2</v>
      </c>
      <c r="D14" s="213" t="n">
        <v>1</v>
      </c>
      <c r="E14" s="213" t="n">
        <v>1</v>
      </c>
      <c r="F14" s="213" t="n">
        <v>0</v>
      </c>
      <c r="G14" s="213" t="n">
        <v>4</v>
      </c>
    </row>
    <row r="15" customFormat="false" ht="15" hidden="false" customHeight="false" outlineLevel="0" collapsed="false">
      <c r="A15" s="27"/>
      <c r="B15" s="28" t="s">
        <v>22</v>
      </c>
      <c r="C15" s="27" t="n">
        <v>3</v>
      </c>
      <c r="D15" s="27" t="n">
        <v>2</v>
      </c>
      <c r="E15" s="27" t="n">
        <v>1</v>
      </c>
      <c r="F15" s="27" t="n">
        <v>0</v>
      </c>
      <c r="G15" s="27" t="n">
        <v>6</v>
      </c>
    </row>
    <row r="16" customFormat="false" ht="15" hidden="false" customHeight="false" outlineLevel="0" collapsed="false">
      <c r="A16" s="24" t="s">
        <v>83</v>
      </c>
      <c r="B16" s="24" t="s">
        <v>29</v>
      </c>
      <c r="C16" s="213" t="n">
        <v>0</v>
      </c>
      <c r="D16" s="213" t="n">
        <v>0</v>
      </c>
      <c r="E16" s="213" t="n">
        <v>0</v>
      </c>
      <c r="F16" s="213" t="n">
        <v>0</v>
      </c>
      <c r="G16" s="213" t="n">
        <v>0</v>
      </c>
    </row>
    <row r="17" customFormat="false" ht="15" hidden="false" customHeight="false" outlineLevel="0" collapsed="false">
      <c r="A17" s="27"/>
      <c r="B17" s="28" t="s">
        <v>22</v>
      </c>
      <c r="C17" s="27" t="n">
        <v>0</v>
      </c>
      <c r="D17" s="27" t="n">
        <v>0</v>
      </c>
      <c r="E17" s="27" t="n">
        <v>0</v>
      </c>
      <c r="F17" s="27" t="n">
        <v>0</v>
      </c>
      <c r="G17" s="27" t="n">
        <v>0</v>
      </c>
    </row>
    <row r="18" customFormat="false" ht="15" hidden="false" customHeight="false" outlineLevel="0" collapsed="false">
      <c r="A18" s="24" t="s">
        <v>84</v>
      </c>
      <c r="B18" s="24" t="s">
        <v>31</v>
      </c>
      <c r="C18" s="213" t="n">
        <v>0</v>
      </c>
      <c r="D18" s="213" t="n">
        <v>0</v>
      </c>
      <c r="E18" s="213" t="n">
        <v>0</v>
      </c>
      <c r="F18" s="213" t="n">
        <v>0</v>
      </c>
      <c r="G18" s="213" t="n">
        <v>0</v>
      </c>
    </row>
    <row r="19" customFormat="false" ht="15" hidden="false" customHeight="false" outlineLevel="0" collapsed="false">
      <c r="A19" s="25"/>
      <c r="B19" s="24" t="s">
        <v>32</v>
      </c>
      <c r="C19" s="213" t="n">
        <v>0</v>
      </c>
      <c r="D19" s="213" t="n">
        <v>0</v>
      </c>
      <c r="E19" s="213" t="n">
        <v>0</v>
      </c>
      <c r="F19" s="213" t="n">
        <v>0</v>
      </c>
      <c r="G19" s="213" t="n">
        <v>0</v>
      </c>
    </row>
    <row r="20" customFormat="false" ht="15" hidden="false" customHeight="false" outlineLevel="0" collapsed="false">
      <c r="A20" s="25"/>
      <c r="B20" s="24" t="s">
        <v>33</v>
      </c>
      <c r="C20" s="213" t="n">
        <v>0</v>
      </c>
      <c r="D20" s="213" t="n">
        <v>0</v>
      </c>
      <c r="E20" s="213" t="n">
        <v>0</v>
      </c>
      <c r="F20" s="213" t="n">
        <v>0</v>
      </c>
      <c r="G20" s="213" t="n">
        <v>0</v>
      </c>
    </row>
    <row r="21" customFormat="false" ht="15" hidden="false" customHeight="false" outlineLevel="0" collapsed="false">
      <c r="A21" s="27"/>
      <c r="B21" s="28" t="s">
        <v>22</v>
      </c>
      <c r="C21" s="27" t="n">
        <v>0</v>
      </c>
      <c r="D21" s="27" t="n">
        <v>0</v>
      </c>
      <c r="E21" s="27" t="n">
        <v>0</v>
      </c>
      <c r="F21" s="27" t="n">
        <v>0</v>
      </c>
      <c r="G21" s="27" t="n">
        <v>0</v>
      </c>
    </row>
    <row r="22" customFormat="false" ht="25.5" hidden="false" customHeight="false" outlineLevel="0" collapsed="false">
      <c r="A22" s="24" t="s">
        <v>85</v>
      </c>
      <c r="B22" s="24" t="s">
        <v>35</v>
      </c>
      <c r="C22" s="213" t="n">
        <v>1</v>
      </c>
      <c r="D22" s="213" t="n">
        <v>0</v>
      </c>
      <c r="E22" s="213" t="n">
        <v>2</v>
      </c>
      <c r="F22" s="213" t="n">
        <v>0</v>
      </c>
      <c r="G22" s="213" t="n">
        <v>3</v>
      </c>
    </row>
    <row r="23" customFormat="false" ht="15" hidden="false" customHeight="false" outlineLevel="0" collapsed="false">
      <c r="A23" s="25"/>
      <c r="B23" s="24" t="s">
        <v>36</v>
      </c>
      <c r="C23" s="213" t="n">
        <v>0</v>
      </c>
      <c r="D23" s="213" t="n">
        <v>0</v>
      </c>
      <c r="E23" s="213" t="n">
        <v>0</v>
      </c>
      <c r="F23" s="213" t="n">
        <v>0</v>
      </c>
      <c r="G23" s="213" t="n">
        <v>0</v>
      </c>
    </row>
    <row r="24" customFormat="false" ht="15" hidden="false" customHeight="false" outlineLevel="0" collapsed="false">
      <c r="A24" s="25"/>
      <c r="B24" s="24" t="s">
        <v>37</v>
      </c>
      <c r="C24" s="213" t="n">
        <v>1</v>
      </c>
      <c r="D24" s="213" t="n">
        <v>1</v>
      </c>
      <c r="E24" s="213" t="n">
        <v>1</v>
      </c>
      <c r="F24" s="213" t="n">
        <v>0</v>
      </c>
      <c r="G24" s="213" t="n">
        <v>3</v>
      </c>
    </row>
    <row r="25" customFormat="false" ht="15" hidden="false" customHeight="false" outlineLevel="0" collapsed="false">
      <c r="A25" s="27"/>
      <c r="B25" s="28" t="s">
        <v>22</v>
      </c>
      <c r="C25" s="27" t="n">
        <v>2</v>
      </c>
      <c r="D25" s="27" t="n">
        <v>1</v>
      </c>
      <c r="E25" s="27" t="n">
        <v>3</v>
      </c>
      <c r="F25" s="27" t="n">
        <v>0</v>
      </c>
      <c r="G25" s="27" t="n">
        <v>6</v>
      </c>
    </row>
    <row r="26" customFormat="false" ht="25.5" hidden="false" customHeight="false" outlineLevel="0" collapsed="false">
      <c r="A26" s="24" t="s">
        <v>86</v>
      </c>
      <c r="B26" s="24" t="s">
        <v>39</v>
      </c>
      <c r="C26" s="213" t="n">
        <v>0</v>
      </c>
      <c r="D26" s="213" t="n">
        <v>0</v>
      </c>
      <c r="E26" s="213" t="n">
        <v>0</v>
      </c>
      <c r="F26" s="213" t="n">
        <v>0</v>
      </c>
      <c r="G26" s="213" t="n">
        <v>0</v>
      </c>
    </row>
    <row r="27" customFormat="false" ht="15" hidden="false" customHeight="false" outlineLevel="0" collapsed="false">
      <c r="A27" s="25"/>
      <c r="B27" s="24" t="s">
        <v>40</v>
      </c>
      <c r="C27" s="213" t="n">
        <v>1</v>
      </c>
      <c r="D27" s="213" t="n">
        <v>0</v>
      </c>
      <c r="E27" s="213" t="n">
        <v>0</v>
      </c>
      <c r="F27" s="213" t="n">
        <v>0</v>
      </c>
      <c r="G27" s="213" t="n">
        <v>1</v>
      </c>
    </row>
    <row r="28" customFormat="false" ht="15" hidden="false" customHeight="false" outlineLevel="0" collapsed="false">
      <c r="A28" s="25"/>
      <c r="B28" s="24" t="s">
        <v>41</v>
      </c>
      <c r="C28" s="213" t="n">
        <v>5</v>
      </c>
      <c r="D28" s="213" t="n">
        <v>6</v>
      </c>
      <c r="E28" s="213" t="n">
        <v>8</v>
      </c>
      <c r="F28" s="213" t="n">
        <v>3</v>
      </c>
      <c r="G28" s="213" t="n">
        <v>22</v>
      </c>
    </row>
    <row r="29" customFormat="false" ht="15" hidden="false" customHeight="false" outlineLevel="0" collapsed="false">
      <c r="A29" s="25"/>
      <c r="B29" s="24" t="s">
        <v>42</v>
      </c>
      <c r="C29" s="213" t="n">
        <v>1</v>
      </c>
      <c r="D29" s="213" t="n">
        <v>0</v>
      </c>
      <c r="E29" s="213" t="n">
        <v>0</v>
      </c>
      <c r="F29" s="213" t="n">
        <v>0</v>
      </c>
      <c r="G29" s="213" t="n">
        <v>1</v>
      </c>
    </row>
    <row r="30" customFormat="false" ht="15" hidden="false" customHeight="false" outlineLevel="0" collapsed="false">
      <c r="A30" s="27"/>
      <c r="B30" s="28" t="s">
        <v>22</v>
      </c>
      <c r="C30" s="27" t="n">
        <v>7</v>
      </c>
      <c r="D30" s="27" t="n">
        <v>6</v>
      </c>
      <c r="E30" s="27" t="n">
        <v>8</v>
      </c>
      <c r="F30" s="27" t="n">
        <v>3</v>
      </c>
      <c r="G30" s="27" t="n">
        <v>24</v>
      </c>
    </row>
    <row r="31" customFormat="false" ht="15" hidden="false" customHeight="false" outlineLevel="0" collapsed="false">
      <c r="A31" s="24" t="s">
        <v>87</v>
      </c>
      <c r="B31" s="24" t="s">
        <v>44</v>
      </c>
      <c r="C31" s="213" t="n">
        <v>6</v>
      </c>
      <c r="D31" s="213" t="n">
        <v>3</v>
      </c>
      <c r="E31" s="213" t="n">
        <v>0</v>
      </c>
      <c r="F31" s="213" t="n">
        <v>2</v>
      </c>
      <c r="G31" s="213" t="n">
        <v>11</v>
      </c>
    </row>
    <row r="32" customFormat="false" ht="25.5" hidden="false" customHeight="false" outlineLevel="0" collapsed="false">
      <c r="A32" s="25"/>
      <c r="B32" s="24" t="s">
        <v>45</v>
      </c>
      <c r="C32" s="213" t="n">
        <v>0</v>
      </c>
      <c r="D32" s="213" t="n">
        <v>0</v>
      </c>
      <c r="E32" s="213" t="n">
        <v>0</v>
      </c>
      <c r="F32" s="213" t="n">
        <v>0</v>
      </c>
      <c r="G32" s="213" t="n">
        <v>0</v>
      </c>
    </row>
    <row r="33" customFormat="false" ht="15" hidden="false" customHeight="false" outlineLevel="0" collapsed="false">
      <c r="A33" s="25"/>
      <c r="B33" s="24" t="s">
        <v>46</v>
      </c>
      <c r="C33" s="213" t="n">
        <v>25</v>
      </c>
      <c r="D33" s="213" t="n">
        <v>10</v>
      </c>
      <c r="E33" s="213" t="n">
        <v>19</v>
      </c>
      <c r="F33" s="213" t="n">
        <v>9</v>
      </c>
      <c r="G33" s="213" t="n">
        <v>63</v>
      </c>
    </row>
    <row r="34" customFormat="false" ht="15" hidden="false" customHeight="false" outlineLevel="0" collapsed="false">
      <c r="A34" s="27"/>
      <c r="B34" s="28" t="s">
        <v>22</v>
      </c>
      <c r="C34" s="27" t="n">
        <v>31</v>
      </c>
      <c r="D34" s="27" t="n">
        <v>13</v>
      </c>
      <c r="E34" s="27" t="n">
        <v>19</v>
      </c>
      <c r="F34" s="27" t="n">
        <v>11</v>
      </c>
      <c r="G34" s="27" t="n">
        <v>74</v>
      </c>
    </row>
    <row r="35" customFormat="false" ht="15" hidden="false" customHeight="false" outlineLevel="0" collapsed="false">
      <c r="A35" s="24" t="s">
        <v>90</v>
      </c>
      <c r="B35" s="24" t="s">
        <v>91</v>
      </c>
      <c r="C35" s="25" t="n">
        <v>0</v>
      </c>
      <c r="D35" s="213" t="n">
        <v>0</v>
      </c>
      <c r="E35" s="213" t="n">
        <v>0</v>
      </c>
      <c r="F35" s="213" t="n">
        <v>0</v>
      </c>
      <c r="G35" s="213" t="n">
        <v>0</v>
      </c>
    </row>
    <row r="36" customFormat="false" ht="15" hidden="false" customHeight="false" outlineLevel="0" collapsed="false">
      <c r="A36" s="25"/>
      <c r="B36" s="24" t="s">
        <v>92</v>
      </c>
      <c r="C36" s="25" t="n">
        <v>9</v>
      </c>
      <c r="D36" s="213" t="n">
        <v>2</v>
      </c>
      <c r="E36" s="213" t="n">
        <v>6</v>
      </c>
      <c r="F36" s="213" t="n">
        <v>4</v>
      </c>
      <c r="G36" s="213" t="n">
        <v>21</v>
      </c>
    </row>
    <row r="37" customFormat="false" ht="15" hidden="false" customHeight="false" outlineLevel="0" collapsed="false">
      <c r="A37" s="25"/>
      <c r="B37" s="24" t="s">
        <v>93</v>
      </c>
      <c r="C37" s="25" t="n">
        <v>0</v>
      </c>
      <c r="D37" s="213" t="n">
        <v>0</v>
      </c>
      <c r="E37" s="213" t="n">
        <v>0</v>
      </c>
      <c r="F37" s="213" t="n">
        <v>0</v>
      </c>
      <c r="G37" s="213" t="n">
        <v>0</v>
      </c>
    </row>
    <row r="38" customFormat="false" ht="15" hidden="false" customHeight="false" outlineLevel="0" collapsed="false">
      <c r="A38" s="25"/>
      <c r="B38" s="24" t="s">
        <v>94</v>
      </c>
      <c r="C38" s="25" t="n">
        <v>8</v>
      </c>
      <c r="D38" s="213" t="n">
        <v>3</v>
      </c>
      <c r="E38" s="213" t="n">
        <v>5</v>
      </c>
      <c r="F38" s="213" t="n">
        <v>1</v>
      </c>
      <c r="G38" s="213" t="n">
        <v>17</v>
      </c>
    </row>
    <row r="39" customFormat="false" ht="15" hidden="false" customHeight="false" outlineLevel="0" collapsed="false">
      <c r="A39" s="25"/>
      <c r="B39" s="24" t="s">
        <v>95</v>
      </c>
      <c r="C39" s="25" t="n">
        <v>12</v>
      </c>
      <c r="D39" s="213" t="n">
        <v>4</v>
      </c>
      <c r="E39" s="213" t="n">
        <v>9</v>
      </c>
      <c r="F39" s="213" t="n">
        <v>4</v>
      </c>
      <c r="G39" s="213" t="n">
        <v>29</v>
      </c>
    </row>
    <row r="40" customFormat="false" ht="15" hidden="false" customHeight="false" outlineLevel="0" collapsed="false">
      <c r="A40" s="25"/>
      <c r="B40" s="24" t="s">
        <v>96</v>
      </c>
      <c r="C40" s="25" t="n">
        <v>11</v>
      </c>
      <c r="D40" s="213" t="n">
        <v>7</v>
      </c>
      <c r="E40" s="213" t="n">
        <v>9</v>
      </c>
      <c r="F40" s="213" t="n">
        <v>6</v>
      </c>
      <c r="G40" s="213" t="n">
        <v>33</v>
      </c>
    </row>
    <row r="41" customFormat="false" ht="15" hidden="false" customHeight="false" outlineLevel="0" collapsed="false">
      <c r="A41" s="25"/>
      <c r="B41" s="24" t="s">
        <v>97</v>
      </c>
      <c r="C41" s="25" t="n">
        <v>1</v>
      </c>
      <c r="D41" s="213" t="n">
        <v>3</v>
      </c>
      <c r="E41" s="213" t="n">
        <v>0</v>
      </c>
      <c r="F41" s="213" t="n">
        <v>2</v>
      </c>
      <c r="G41" s="213" t="n">
        <v>6</v>
      </c>
    </row>
    <row r="42" customFormat="false" ht="15" hidden="false" customHeight="false" outlineLevel="0" collapsed="false">
      <c r="A42" s="25"/>
      <c r="B42" s="24" t="s">
        <v>98</v>
      </c>
      <c r="C42" s="25" t="n">
        <v>0</v>
      </c>
      <c r="D42" s="213" t="n">
        <v>0</v>
      </c>
      <c r="E42" s="213" t="n">
        <v>0</v>
      </c>
      <c r="F42" s="213" t="n">
        <v>0</v>
      </c>
      <c r="G42" s="213" t="n">
        <v>0</v>
      </c>
    </row>
    <row r="43" customFormat="false" ht="15" hidden="false" customHeight="false" outlineLevel="0" collapsed="false">
      <c r="A43" s="25"/>
      <c r="B43" s="24" t="s">
        <v>99</v>
      </c>
      <c r="C43" s="25" t="n">
        <v>2</v>
      </c>
      <c r="D43" s="213" t="n">
        <v>1</v>
      </c>
      <c r="E43" s="213" t="n">
        <v>3</v>
      </c>
      <c r="F43" s="213" t="n">
        <v>3</v>
      </c>
      <c r="G43" s="213" t="n">
        <v>9</v>
      </c>
    </row>
    <row r="44" customFormat="false" ht="15" hidden="false" customHeight="false" outlineLevel="0" collapsed="false">
      <c r="A44" s="27"/>
      <c r="B44" s="28" t="s">
        <v>22</v>
      </c>
      <c r="C44" s="27" t="n">
        <v>43</v>
      </c>
      <c r="D44" s="27" t="n">
        <v>20</v>
      </c>
      <c r="E44" s="27" t="n">
        <v>32</v>
      </c>
      <c r="F44" s="27" t="n">
        <v>20</v>
      </c>
      <c r="G44" s="27" t="n">
        <v>115</v>
      </c>
    </row>
    <row r="45" customFormat="false" ht="15" hidden="false" customHeight="false" outlineLevel="0" collapsed="false">
      <c r="A45" s="24" t="s">
        <v>100</v>
      </c>
      <c r="B45" s="24" t="s">
        <v>101</v>
      </c>
      <c r="C45" s="213" t="n">
        <v>13</v>
      </c>
      <c r="D45" s="213" t="n">
        <v>7</v>
      </c>
      <c r="E45" s="213" t="n">
        <v>11</v>
      </c>
      <c r="F45" s="213" t="n">
        <v>9</v>
      </c>
      <c r="G45" s="213" t="n">
        <v>40</v>
      </c>
    </row>
    <row r="46" customFormat="false" ht="15" hidden="false" customHeight="false" outlineLevel="0" collapsed="false">
      <c r="A46" s="25"/>
      <c r="B46" s="24" t="s">
        <v>102</v>
      </c>
      <c r="C46" s="213" t="n">
        <v>0</v>
      </c>
      <c r="D46" s="213" t="n">
        <v>0</v>
      </c>
      <c r="E46" s="213" t="n">
        <v>0</v>
      </c>
      <c r="F46" s="213" t="n">
        <v>0</v>
      </c>
      <c r="G46" s="213" t="n">
        <v>0</v>
      </c>
    </row>
    <row r="47" customFormat="false" ht="15" hidden="false" customHeight="false" outlineLevel="0" collapsed="false">
      <c r="A47" s="25"/>
      <c r="B47" s="24" t="s">
        <v>103</v>
      </c>
      <c r="C47" s="213" t="n">
        <v>1</v>
      </c>
      <c r="D47" s="213" t="n">
        <v>0</v>
      </c>
      <c r="E47" s="213" t="n">
        <v>0</v>
      </c>
      <c r="F47" s="213" t="n">
        <v>0</v>
      </c>
      <c r="G47" s="213" t="n">
        <v>1</v>
      </c>
    </row>
    <row r="48" customFormat="false" ht="15" hidden="false" customHeight="false" outlineLevel="0" collapsed="false">
      <c r="A48" s="25"/>
      <c r="B48" s="24" t="s">
        <v>104</v>
      </c>
      <c r="C48" s="213" t="n">
        <v>0</v>
      </c>
      <c r="D48" s="213" t="n">
        <v>0</v>
      </c>
      <c r="E48" s="213" t="n">
        <v>0</v>
      </c>
      <c r="F48" s="213" t="n">
        <v>0</v>
      </c>
      <c r="G48" s="213" t="n">
        <v>0</v>
      </c>
    </row>
    <row r="49" customFormat="false" ht="15" hidden="false" customHeight="false" outlineLevel="0" collapsed="false">
      <c r="A49" s="25"/>
      <c r="B49" s="24" t="s">
        <v>105</v>
      </c>
      <c r="C49" s="213" t="n">
        <v>0</v>
      </c>
      <c r="D49" s="213" t="n">
        <v>0</v>
      </c>
      <c r="E49" s="213" t="n">
        <v>0</v>
      </c>
      <c r="F49" s="213" t="n">
        <v>0</v>
      </c>
      <c r="G49" s="213" t="n">
        <v>0</v>
      </c>
    </row>
    <row r="50" customFormat="false" ht="15" hidden="false" customHeight="false" outlineLevel="0" collapsed="false">
      <c r="A50" s="25"/>
      <c r="B50" s="24" t="s">
        <v>106</v>
      </c>
      <c r="C50" s="213" t="n">
        <v>0</v>
      </c>
      <c r="D50" s="213" t="n">
        <v>0</v>
      </c>
      <c r="E50" s="213" t="n">
        <v>0</v>
      </c>
      <c r="F50" s="213" t="n">
        <v>0</v>
      </c>
      <c r="G50" s="213" t="n">
        <v>0</v>
      </c>
    </row>
    <row r="51" customFormat="false" ht="15" hidden="false" customHeight="false" outlineLevel="0" collapsed="false">
      <c r="A51" s="25"/>
      <c r="B51" s="24" t="s">
        <v>107</v>
      </c>
      <c r="C51" s="213" t="n">
        <v>0</v>
      </c>
      <c r="D51" s="213" t="n">
        <v>0</v>
      </c>
      <c r="E51" s="213" t="n">
        <v>0</v>
      </c>
      <c r="F51" s="213" t="n">
        <v>0</v>
      </c>
      <c r="G51" s="213" t="n">
        <v>0</v>
      </c>
    </row>
    <row r="52" customFormat="false" ht="15" hidden="false" customHeight="false" outlineLevel="0" collapsed="false">
      <c r="A52" s="25"/>
      <c r="B52" s="24" t="s">
        <v>108</v>
      </c>
      <c r="C52" s="213" t="n">
        <v>1</v>
      </c>
      <c r="D52" s="213" t="n">
        <v>0</v>
      </c>
      <c r="E52" s="213" t="n">
        <v>1</v>
      </c>
      <c r="F52" s="213" t="n">
        <v>0</v>
      </c>
      <c r="G52" s="213" t="n">
        <v>2</v>
      </c>
    </row>
    <row r="53" customFormat="false" ht="15" hidden="false" customHeight="false" outlineLevel="0" collapsed="false">
      <c r="A53" s="25"/>
      <c r="B53" s="24" t="s">
        <v>109</v>
      </c>
      <c r="C53" s="213" t="n">
        <v>9</v>
      </c>
      <c r="D53" s="213" t="n">
        <v>9</v>
      </c>
      <c r="E53" s="213" t="n">
        <v>15</v>
      </c>
      <c r="F53" s="213" t="n">
        <v>3</v>
      </c>
      <c r="G53" s="213" t="n">
        <v>36</v>
      </c>
    </row>
    <row r="54" customFormat="false" ht="15" hidden="false" customHeight="false" outlineLevel="0" collapsed="false">
      <c r="A54" s="25"/>
      <c r="B54" s="24" t="s">
        <v>110</v>
      </c>
      <c r="C54" s="213" t="n">
        <v>0</v>
      </c>
      <c r="D54" s="213" t="n">
        <v>4</v>
      </c>
      <c r="E54" s="213" t="n">
        <v>3</v>
      </c>
      <c r="F54" s="213" t="n">
        <v>2</v>
      </c>
      <c r="G54" s="213" t="n">
        <v>9</v>
      </c>
    </row>
    <row r="55" customFormat="false" ht="15" hidden="false" customHeight="false" outlineLevel="0" collapsed="false">
      <c r="A55" s="25"/>
      <c r="B55" s="24" t="s">
        <v>111</v>
      </c>
      <c r="C55" s="213" t="n">
        <v>0</v>
      </c>
      <c r="D55" s="213" t="n">
        <v>0</v>
      </c>
      <c r="E55" s="213" t="n">
        <v>0</v>
      </c>
      <c r="F55" s="213" t="n">
        <v>0</v>
      </c>
      <c r="G55" s="213" t="n">
        <v>0</v>
      </c>
    </row>
    <row r="56" customFormat="false" ht="15" hidden="false" customHeight="false" outlineLevel="0" collapsed="false">
      <c r="A56" s="25"/>
      <c r="B56" s="24" t="s">
        <v>112</v>
      </c>
      <c r="C56" s="213" t="n">
        <v>0</v>
      </c>
      <c r="D56" s="213" t="n">
        <v>0</v>
      </c>
      <c r="E56" s="213" t="n">
        <v>0</v>
      </c>
      <c r="F56" s="213" t="n">
        <v>0</v>
      </c>
      <c r="G56" s="213" t="n">
        <v>0</v>
      </c>
    </row>
    <row r="57" customFormat="false" ht="15" hidden="false" customHeight="false" outlineLevel="0" collapsed="false">
      <c r="A57" s="25"/>
      <c r="B57" s="24" t="s">
        <v>113</v>
      </c>
      <c r="C57" s="213" t="n">
        <v>0</v>
      </c>
      <c r="D57" s="213" t="n">
        <v>0</v>
      </c>
      <c r="E57" s="213" t="n">
        <v>0</v>
      </c>
      <c r="F57" s="213" t="n">
        <v>0</v>
      </c>
      <c r="G57" s="213" t="n">
        <v>0</v>
      </c>
    </row>
    <row r="58" customFormat="false" ht="15" hidden="false" customHeight="false" outlineLevel="0" collapsed="false">
      <c r="A58" s="25"/>
      <c r="B58" s="24" t="s">
        <v>114</v>
      </c>
      <c r="C58" s="213" t="n">
        <v>0</v>
      </c>
      <c r="D58" s="213" t="n">
        <v>0</v>
      </c>
      <c r="E58" s="213" t="n">
        <v>0</v>
      </c>
      <c r="F58" s="213" t="n">
        <v>0</v>
      </c>
      <c r="G58" s="213" t="n">
        <v>0</v>
      </c>
    </row>
    <row r="59" customFormat="false" ht="15" hidden="false" customHeight="false" outlineLevel="0" collapsed="false">
      <c r="A59" s="25"/>
      <c r="B59" s="24" t="s">
        <v>115</v>
      </c>
      <c r="C59" s="213" t="n">
        <v>7</v>
      </c>
      <c r="D59" s="213" t="n">
        <v>3</v>
      </c>
      <c r="E59" s="213" t="n">
        <v>5</v>
      </c>
      <c r="F59" s="213" t="n">
        <v>3</v>
      </c>
      <c r="G59" s="213" t="n">
        <v>18</v>
      </c>
    </row>
    <row r="60" customFormat="false" ht="15" hidden="false" customHeight="false" outlineLevel="0" collapsed="false">
      <c r="A60" s="25"/>
      <c r="B60" s="24" t="s">
        <v>116</v>
      </c>
      <c r="C60" s="213" t="n">
        <v>0</v>
      </c>
      <c r="D60" s="213" t="n">
        <v>0</v>
      </c>
      <c r="E60" s="213" t="n">
        <v>0</v>
      </c>
      <c r="F60" s="213" t="n">
        <v>0</v>
      </c>
      <c r="G60" s="213" t="n">
        <v>0</v>
      </c>
    </row>
    <row r="61" customFormat="false" ht="15" hidden="false" customHeight="false" outlineLevel="0" collapsed="false">
      <c r="A61" s="155"/>
      <c r="B61" s="214" t="s">
        <v>22</v>
      </c>
      <c r="C61" s="27" t="n">
        <v>31</v>
      </c>
      <c r="D61" s="27" t="n">
        <v>23</v>
      </c>
      <c r="E61" s="27" t="n">
        <v>35</v>
      </c>
      <c r="F61" s="27" t="s">
        <v>427</v>
      </c>
      <c r="G61" s="27" t="n">
        <v>106</v>
      </c>
    </row>
    <row r="62" customFormat="false" ht="25.5" hidden="false" customHeight="false" outlineLevel="0" collapsed="false">
      <c r="A62" s="32"/>
      <c r="B62" s="32" t="s">
        <v>74</v>
      </c>
      <c r="C62" s="26" t="n">
        <v>117</v>
      </c>
      <c r="D62" s="26" t="n">
        <v>66</v>
      </c>
      <c r="E62" s="26" t="n">
        <v>99</v>
      </c>
      <c r="F62" s="26" t="n">
        <v>51</v>
      </c>
      <c r="G62" s="26" t="n">
        <v>333</v>
      </c>
    </row>
    <row r="63" customFormat="false" ht="15" hidden="false" customHeight="false" outlineLevel="0" collapsed="false">
      <c r="A63" s="0" t="s">
        <v>441</v>
      </c>
    </row>
  </sheetData>
  <mergeCells count="9">
    <mergeCell ref="A1:G1"/>
    <mergeCell ref="A3:A5"/>
    <mergeCell ref="B3:B5"/>
    <mergeCell ref="C3:C5"/>
    <mergeCell ref="D3:D5"/>
    <mergeCell ref="E3:E5"/>
    <mergeCell ref="F3:F5"/>
    <mergeCell ref="G3:G5"/>
    <mergeCell ref="H3:H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0" activeCellId="0" sqref="L20"/>
    </sheetView>
  </sheetViews>
  <sheetFormatPr defaultRowHeight="15" outlineLevelRow="0" outlineLevelCol="0"/>
  <cols>
    <col collapsed="false" customWidth="true" hidden="false" outlineLevel="0" max="1" min="1" style="0" width="14.28"/>
    <col collapsed="false" customWidth="true" hidden="false" outlineLevel="0" max="2" min="2" style="0" width="13.86"/>
    <col collapsed="false" customWidth="true" hidden="false" outlineLevel="0" max="1025" min="3" style="0" width="8.67"/>
  </cols>
  <sheetData>
    <row r="1" customFormat="false" ht="15" hidden="false" customHeight="false" outlineLevel="0" collapsed="false">
      <c r="A1" s="35" t="s">
        <v>442</v>
      </c>
      <c r="B1" s="35"/>
      <c r="C1" s="35"/>
      <c r="D1" s="35"/>
      <c r="E1" s="35"/>
      <c r="F1" s="35"/>
      <c r="G1" s="35"/>
      <c r="H1" s="35"/>
      <c r="I1" s="35"/>
      <c r="J1" s="35"/>
    </row>
    <row r="2" customFormat="false" ht="15" hidden="false" customHeight="false" outlineLevel="0" collapsed="false">
      <c r="A2" s="36"/>
      <c r="B2" s="36" t="s">
        <v>1</v>
      </c>
      <c r="C2" s="37" t="s">
        <v>443</v>
      </c>
      <c r="D2" s="37"/>
      <c r="E2" s="37"/>
      <c r="F2" s="37"/>
      <c r="G2" s="37"/>
      <c r="H2" s="37"/>
      <c r="I2" s="35"/>
      <c r="J2" s="35"/>
    </row>
    <row r="3" customFormat="false" ht="15" hidden="false" customHeight="true" outlineLevel="0" collapsed="false">
      <c r="A3" s="39" t="s">
        <v>2</v>
      </c>
      <c r="B3" s="39" t="s">
        <v>121</v>
      </c>
      <c r="C3" s="219" t="s">
        <v>444</v>
      </c>
      <c r="D3" s="219"/>
      <c r="E3" s="39" t="s">
        <v>445</v>
      </c>
      <c r="F3" s="39"/>
      <c r="G3" s="39" t="s">
        <v>446</v>
      </c>
      <c r="H3" s="39"/>
      <c r="I3" s="39" t="s">
        <v>80</v>
      </c>
      <c r="J3" s="39"/>
    </row>
    <row r="4" customFormat="false" ht="15" hidden="false" customHeight="false" outlineLevel="0" collapsed="false">
      <c r="A4" s="39"/>
      <c r="B4" s="39"/>
      <c r="C4" s="118" t="s">
        <v>254</v>
      </c>
      <c r="D4" s="27" t="s">
        <v>255</v>
      </c>
      <c r="E4" s="27" t="s">
        <v>254</v>
      </c>
      <c r="F4" s="27" t="s">
        <v>255</v>
      </c>
      <c r="G4" s="27" t="s">
        <v>254</v>
      </c>
      <c r="H4" s="27" t="s">
        <v>255</v>
      </c>
      <c r="I4" s="27" t="s">
        <v>254</v>
      </c>
      <c r="J4" s="27" t="s">
        <v>255</v>
      </c>
    </row>
    <row r="5" customFormat="false" ht="15" hidden="false" customHeight="false" outlineLevel="0" collapsed="false">
      <c r="A5" s="220" t="s">
        <v>81</v>
      </c>
      <c r="B5" s="90" t="s">
        <v>18</v>
      </c>
      <c r="C5" s="25" t="n">
        <v>0</v>
      </c>
      <c r="D5" s="221" t="n">
        <v>0</v>
      </c>
      <c r="E5" s="25" t="n">
        <v>0</v>
      </c>
      <c r="F5" s="221" t="n">
        <v>0</v>
      </c>
      <c r="G5" s="25" t="n">
        <v>0</v>
      </c>
      <c r="H5" s="221" t="n">
        <v>0</v>
      </c>
      <c r="I5" s="25" t="n">
        <v>0</v>
      </c>
      <c r="J5" s="221" t="n">
        <v>0</v>
      </c>
    </row>
    <row r="6" customFormat="false" ht="15" hidden="false" customHeight="false" outlineLevel="0" collapsed="false">
      <c r="A6" s="220"/>
      <c r="B6" s="90" t="s">
        <v>19</v>
      </c>
      <c r="C6" s="25" t="n">
        <v>0</v>
      </c>
      <c r="D6" s="221" t="n">
        <v>0</v>
      </c>
      <c r="E6" s="25" t="n">
        <v>0</v>
      </c>
      <c r="F6" s="221" t="n">
        <v>0</v>
      </c>
      <c r="G6" s="25" t="n">
        <v>0</v>
      </c>
      <c r="H6" s="221" t="n">
        <v>0</v>
      </c>
      <c r="I6" s="25" t="n">
        <v>0</v>
      </c>
      <c r="J6" s="221" t="n">
        <v>0</v>
      </c>
    </row>
    <row r="7" customFormat="false" ht="15" hidden="false" customHeight="false" outlineLevel="0" collapsed="false">
      <c r="A7" s="220"/>
      <c r="B7" s="90" t="s">
        <v>20</v>
      </c>
      <c r="C7" s="25" t="n">
        <v>0</v>
      </c>
      <c r="D7" s="221" t="n">
        <v>0</v>
      </c>
      <c r="E7" s="25" t="n">
        <v>0</v>
      </c>
      <c r="F7" s="221" t="n">
        <v>0</v>
      </c>
      <c r="G7" s="25" t="n">
        <v>0</v>
      </c>
      <c r="H7" s="221" t="n">
        <v>0</v>
      </c>
      <c r="I7" s="25" t="n">
        <v>0</v>
      </c>
      <c r="J7" s="221" t="n">
        <v>0</v>
      </c>
    </row>
    <row r="8" customFormat="false" ht="15" hidden="false" customHeight="false" outlineLevel="0" collapsed="false">
      <c r="A8" s="220"/>
      <c r="B8" s="90" t="s">
        <v>21</v>
      </c>
      <c r="C8" s="25" t="n">
        <v>0</v>
      </c>
      <c r="D8" s="221" t="n">
        <v>0</v>
      </c>
      <c r="E8" s="25" t="n">
        <v>0</v>
      </c>
      <c r="F8" s="221" t="n">
        <v>0</v>
      </c>
      <c r="G8" s="25" t="n">
        <v>0</v>
      </c>
      <c r="H8" s="221" t="n">
        <v>0</v>
      </c>
      <c r="I8" s="25" t="n">
        <v>0</v>
      </c>
      <c r="J8" s="221" t="n">
        <v>0</v>
      </c>
    </row>
    <row r="9" customFormat="false" ht="15" hidden="false" customHeight="false" outlineLevel="0" collapsed="false">
      <c r="A9" s="222"/>
      <c r="B9" s="223" t="s">
        <v>22</v>
      </c>
      <c r="C9" s="27" t="n">
        <v>0</v>
      </c>
      <c r="D9" s="224" t="n">
        <v>0</v>
      </c>
      <c r="E9" s="27" t="n">
        <v>0</v>
      </c>
      <c r="F9" s="224" t="n">
        <v>0</v>
      </c>
      <c r="G9" s="27" t="n">
        <v>0</v>
      </c>
      <c r="H9" s="224" t="n">
        <v>0</v>
      </c>
      <c r="I9" s="27" t="n">
        <v>0</v>
      </c>
      <c r="J9" s="224" t="n">
        <v>0</v>
      </c>
    </row>
    <row r="10" customFormat="false" ht="15" hidden="false" customHeight="false" outlineLevel="0" collapsed="false">
      <c r="A10" s="220" t="s">
        <v>82</v>
      </c>
      <c r="B10" s="82" t="s">
        <v>24</v>
      </c>
      <c r="C10" s="25" t="n">
        <v>0</v>
      </c>
      <c r="D10" s="221" t="n">
        <v>0</v>
      </c>
      <c r="E10" s="25" t="n">
        <v>0</v>
      </c>
      <c r="F10" s="221" t="n">
        <v>0</v>
      </c>
      <c r="G10" s="25" t="n">
        <v>0</v>
      </c>
      <c r="H10" s="221" t="n">
        <v>0</v>
      </c>
      <c r="I10" s="25" t="n">
        <v>0</v>
      </c>
      <c r="J10" s="221" t="n">
        <v>0</v>
      </c>
    </row>
    <row r="11" customFormat="false" ht="15" hidden="false" customHeight="false" outlineLevel="0" collapsed="false">
      <c r="A11" s="220"/>
      <c r="B11" s="82" t="s">
        <v>25</v>
      </c>
      <c r="C11" s="25" t="n">
        <v>0</v>
      </c>
      <c r="D11" s="221" t="n">
        <v>0</v>
      </c>
      <c r="E11" s="25" t="n">
        <v>0</v>
      </c>
      <c r="F11" s="221" t="n">
        <v>0</v>
      </c>
      <c r="G11" s="25" t="n">
        <v>0</v>
      </c>
      <c r="H11" s="221" t="n">
        <v>0</v>
      </c>
      <c r="I11" s="25" t="n">
        <v>0</v>
      </c>
      <c r="J11" s="221" t="n">
        <v>0</v>
      </c>
    </row>
    <row r="12" customFormat="false" ht="15" hidden="false" customHeight="false" outlineLevel="0" collapsed="false">
      <c r="A12" s="220"/>
      <c r="B12" s="82" t="s">
        <v>26</v>
      </c>
      <c r="C12" s="25" t="n">
        <v>0</v>
      </c>
      <c r="D12" s="221" t="n">
        <v>0</v>
      </c>
      <c r="E12" s="25" t="n">
        <v>0</v>
      </c>
      <c r="F12" s="221" t="n">
        <v>0</v>
      </c>
      <c r="G12" s="25" t="n">
        <v>0</v>
      </c>
      <c r="H12" s="221" t="n">
        <v>0</v>
      </c>
      <c r="I12" s="25" t="n">
        <v>0</v>
      </c>
      <c r="J12" s="221" t="n">
        <v>0</v>
      </c>
    </row>
    <row r="13" customFormat="false" ht="15" hidden="false" customHeight="false" outlineLevel="0" collapsed="false">
      <c r="A13" s="220"/>
      <c r="B13" s="82" t="s">
        <v>27</v>
      </c>
      <c r="C13" s="25" t="n">
        <v>0</v>
      </c>
      <c r="D13" s="221" t="n">
        <v>0</v>
      </c>
      <c r="E13" s="25" t="n">
        <v>0</v>
      </c>
      <c r="F13" s="221" t="n">
        <v>0</v>
      </c>
      <c r="G13" s="25" t="n">
        <v>0</v>
      </c>
      <c r="H13" s="221" t="n">
        <v>0</v>
      </c>
      <c r="I13" s="25" t="n">
        <v>0</v>
      </c>
      <c r="J13" s="221" t="n">
        <v>0</v>
      </c>
    </row>
    <row r="14" customFormat="false" ht="15" hidden="false" customHeight="false" outlineLevel="0" collapsed="false">
      <c r="A14" s="222"/>
      <c r="B14" s="223" t="s">
        <v>22</v>
      </c>
      <c r="C14" s="27" t="n">
        <v>0</v>
      </c>
      <c r="D14" s="224" t="n">
        <v>0</v>
      </c>
      <c r="E14" s="27" t="n">
        <v>0</v>
      </c>
      <c r="F14" s="224" t="n">
        <v>0</v>
      </c>
      <c r="G14" s="27" t="n">
        <v>0</v>
      </c>
      <c r="H14" s="224" t="n">
        <v>0</v>
      </c>
      <c r="I14" s="27" t="n">
        <v>0</v>
      </c>
      <c r="J14" s="224" t="n">
        <v>0</v>
      </c>
    </row>
    <row r="15" customFormat="false" ht="15" hidden="false" customHeight="false" outlineLevel="0" collapsed="false">
      <c r="A15" s="24" t="s">
        <v>83</v>
      </c>
      <c r="B15" s="25" t="s">
        <v>29</v>
      </c>
      <c r="C15" s="25" t="n">
        <v>0</v>
      </c>
      <c r="D15" s="221" t="n">
        <v>0</v>
      </c>
      <c r="E15" s="25" t="n">
        <v>0</v>
      </c>
      <c r="F15" s="221" t="n">
        <v>0</v>
      </c>
      <c r="G15" s="25" t="n">
        <v>0</v>
      </c>
      <c r="H15" s="221" t="n">
        <v>0</v>
      </c>
      <c r="I15" s="25" t="n">
        <v>0</v>
      </c>
      <c r="J15" s="221" t="n">
        <v>0</v>
      </c>
    </row>
    <row r="16" customFormat="false" ht="15" hidden="false" customHeight="false" outlineLevel="0" collapsed="false">
      <c r="A16" s="222"/>
      <c r="B16" s="223" t="s">
        <v>22</v>
      </c>
      <c r="C16" s="27" t="n">
        <v>0</v>
      </c>
      <c r="D16" s="224" t="n">
        <v>0</v>
      </c>
      <c r="E16" s="27" t="n">
        <v>0</v>
      </c>
      <c r="F16" s="224" t="n">
        <v>0</v>
      </c>
      <c r="G16" s="27" t="n">
        <v>0</v>
      </c>
      <c r="H16" s="224" t="n">
        <v>0</v>
      </c>
      <c r="I16" s="27" t="n">
        <v>0</v>
      </c>
      <c r="J16" s="224" t="n">
        <v>0</v>
      </c>
    </row>
    <row r="17" customFormat="false" ht="15" hidden="false" customHeight="false" outlineLevel="0" collapsed="false">
      <c r="A17" s="24" t="s">
        <v>84</v>
      </c>
      <c r="B17" s="25" t="s">
        <v>31</v>
      </c>
      <c r="C17" s="25" t="n">
        <v>0</v>
      </c>
      <c r="D17" s="221" t="n">
        <v>0</v>
      </c>
      <c r="E17" s="25" t="n">
        <v>0</v>
      </c>
      <c r="F17" s="221" t="n">
        <v>0</v>
      </c>
      <c r="G17" s="25" t="n">
        <v>0</v>
      </c>
      <c r="H17" s="221" t="n">
        <v>0</v>
      </c>
      <c r="I17" s="25" t="n">
        <v>0</v>
      </c>
      <c r="J17" s="221" t="n">
        <v>0</v>
      </c>
    </row>
    <row r="18" customFormat="false" ht="15" hidden="false" customHeight="false" outlineLevel="0" collapsed="false">
      <c r="A18" s="24"/>
      <c r="B18" s="25" t="s">
        <v>32</v>
      </c>
      <c r="C18" s="25" t="n">
        <v>0</v>
      </c>
      <c r="D18" s="221" t="n">
        <v>0</v>
      </c>
      <c r="E18" s="25" t="n">
        <v>1</v>
      </c>
      <c r="F18" s="221" t="n">
        <v>0</v>
      </c>
      <c r="G18" s="25" t="n">
        <v>0</v>
      </c>
      <c r="H18" s="221" t="n">
        <v>0</v>
      </c>
      <c r="I18" s="25" t="n">
        <v>1</v>
      </c>
      <c r="J18" s="221" t="n">
        <v>1</v>
      </c>
    </row>
    <row r="19" customFormat="false" ht="15" hidden="false" customHeight="false" outlineLevel="0" collapsed="false">
      <c r="A19" s="24"/>
      <c r="B19" s="25" t="s">
        <v>33</v>
      </c>
      <c r="C19" s="25" t="n">
        <v>0</v>
      </c>
      <c r="D19" s="221" t="n">
        <v>0</v>
      </c>
      <c r="E19" s="25" t="n">
        <v>0</v>
      </c>
      <c r="F19" s="221" t="n">
        <v>0</v>
      </c>
      <c r="G19" s="25" t="n">
        <v>0</v>
      </c>
      <c r="H19" s="221" t="n">
        <v>0</v>
      </c>
      <c r="I19" s="25" t="n">
        <v>0</v>
      </c>
      <c r="J19" s="221" t="n">
        <v>0</v>
      </c>
    </row>
    <row r="20" customFormat="false" ht="15" hidden="false" customHeight="false" outlineLevel="0" collapsed="false">
      <c r="A20" s="222"/>
      <c r="B20" s="223" t="s">
        <v>22</v>
      </c>
      <c r="C20" s="27" t="n">
        <v>0</v>
      </c>
      <c r="D20" s="224" t="n">
        <v>0</v>
      </c>
      <c r="E20" s="27" t="n">
        <v>1</v>
      </c>
      <c r="F20" s="224" t="n">
        <v>0.0357142857142857</v>
      </c>
      <c r="G20" s="27" t="n">
        <v>0</v>
      </c>
      <c r="H20" s="224" t="n">
        <v>0</v>
      </c>
      <c r="I20" s="27" t="n">
        <v>1</v>
      </c>
      <c r="J20" s="224" t="n">
        <v>0.0232558139534884</v>
      </c>
    </row>
    <row r="21" customFormat="false" ht="15" hidden="false" customHeight="false" outlineLevel="0" collapsed="false">
      <c r="A21" s="24" t="s">
        <v>85</v>
      </c>
      <c r="B21" s="25" t="s">
        <v>35</v>
      </c>
      <c r="C21" s="25" t="n">
        <v>1</v>
      </c>
      <c r="D21" s="221" t="n">
        <v>1</v>
      </c>
      <c r="E21" s="25" t="n">
        <v>0</v>
      </c>
      <c r="F21" s="221" t="n">
        <v>0</v>
      </c>
      <c r="G21" s="25" t="n">
        <v>1</v>
      </c>
      <c r="H21" s="221" t="n">
        <v>1</v>
      </c>
      <c r="I21" s="25" t="n">
        <v>2</v>
      </c>
      <c r="J21" s="221" t="n">
        <v>1</v>
      </c>
    </row>
    <row r="22" customFormat="false" ht="15" hidden="false" customHeight="false" outlineLevel="0" collapsed="false">
      <c r="A22" s="24"/>
      <c r="B22" s="25" t="s">
        <v>36</v>
      </c>
      <c r="C22" s="25" t="n">
        <v>0</v>
      </c>
      <c r="D22" s="221" t="n">
        <v>0</v>
      </c>
      <c r="E22" s="25" t="n">
        <v>0</v>
      </c>
      <c r="F22" s="221" t="n">
        <v>0</v>
      </c>
      <c r="G22" s="25" t="n">
        <v>0</v>
      </c>
      <c r="H22" s="221" t="n">
        <v>0</v>
      </c>
      <c r="I22" s="25" t="n">
        <v>0</v>
      </c>
      <c r="J22" s="221" t="n">
        <v>0</v>
      </c>
    </row>
    <row r="23" customFormat="false" ht="15" hidden="false" customHeight="false" outlineLevel="0" collapsed="false">
      <c r="A23" s="24"/>
      <c r="B23" s="25" t="s">
        <v>37</v>
      </c>
      <c r="C23" s="25" t="n">
        <v>0</v>
      </c>
      <c r="D23" s="221" t="n">
        <v>0</v>
      </c>
      <c r="E23" s="25" t="n">
        <v>0</v>
      </c>
      <c r="F23" s="221" t="n">
        <v>0</v>
      </c>
      <c r="G23" s="25" t="n">
        <v>0</v>
      </c>
      <c r="H23" s="221" t="n">
        <v>0</v>
      </c>
      <c r="I23" s="25" t="n">
        <v>0</v>
      </c>
      <c r="J23" s="221" t="n">
        <v>0</v>
      </c>
    </row>
    <row r="24" customFormat="false" ht="15" hidden="false" customHeight="false" outlineLevel="0" collapsed="false">
      <c r="A24" s="222"/>
      <c r="B24" s="223" t="s">
        <v>22</v>
      </c>
      <c r="C24" s="27" t="n">
        <v>1</v>
      </c>
      <c r="D24" s="224" t="n">
        <v>0.111111111111111</v>
      </c>
      <c r="E24" s="27" t="n">
        <v>0</v>
      </c>
      <c r="F24" s="224" t="n">
        <v>0</v>
      </c>
      <c r="G24" s="27" t="n">
        <v>1</v>
      </c>
      <c r="H24" s="224" t="n">
        <v>0.166666666666667</v>
      </c>
      <c r="I24" s="27" t="n">
        <v>2</v>
      </c>
      <c r="J24" s="224" t="n">
        <v>0.0465116279069768</v>
      </c>
    </row>
    <row r="25" customFormat="false" ht="15" hidden="false" customHeight="false" outlineLevel="0" collapsed="false">
      <c r="A25" s="24" t="s">
        <v>86</v>
      </c>
      <c r="B25" s="25" t="s">
        <v>39</v>
      </c>
      <c r="C25" s="25" t="n">
        <v>0</v>
      </c>
      <c r="D25" s="221" t="n">
        <v>0</v>
      </c>
      <c r="E25" s="25" t="n">
        <v>0</v>
      </c>
      <c r="F25" s="221" t="n">
        <v>0</v>
      </c>
      <c r="G25" s="25" t="n">
        <v>0</v>
      </c>
      <c r="H25" s="221" t="n">
        <v>0</v>
      </c>
      <c r="I25" s="25" t="n">
        <v>0</v>
      </c>
      <c r="J25" s="221" t="n">
        <v>0</v>
      </c>
    </row>
    <row r="26" customFormat="false" ht="15" hidden="false" customHeight="false" outlineLevel="0" collapsed="false">
      <c r="A26" s="24"/>
      <c r="B26" s="25" t="s">
        <v>40</v>
      </c>
      <c r="C26" s="25" t="n">
        <v>0</v>
      </c>
      <c r="D26" s="221" t="n">
        <v>0</v>
      </c>
      <c r="E26" s="25" t="n">
        <v>0</v>
      </c>
      <c r="F26" s="221" t="n">
        <v>0</v>
      </c>
      <c r="G26" s="25" t="n">
        <v>0</v>
      </c>
      <c r="H26" s="221" t="n">
        <v>0</v>
      </c>
      <c r="I26" s="25" t="n">
        <v>0</v>
      </c>
      <c r="J26" s="221" t="n">
        <v>0</v>
      </c>
    </row>
    <row r="27" customFormat="false" ht="15" hidden="false" customHeight="false" outlineLevel="0" collapsed="false">
      <c r="A27" s="24"/>
      <c r="B27" s="25" t="s">
        <v>41</v>
      </c>
      <c r="C27" s="25" t="n">
        <v>0</v>
      </c>
      <c r="D27" s="221" t="n">
        <v>0</v>
      </c>
      <c r="E27" s="25" t="n">
        <v>0</v>
      </c>
      <c r="F27" s="221" t="n">
        <v>0</v>
      </c>
      <c r="G27" s="25" t="n">
        <v>0</v>
      </c>
      <c r="H27" s="221" t="n">
        <v>0</v>
      </c>
      <c r="I27" s="25" t="n">
        <v>0</v>
      </c>
      <c r="J27" s="221" t="n">
        <v>0</v>
      </c>
    </row>
    <row r="28" customFormat="false" ht="15" hidden="false" customHeight="false" outlineLevel="0" collapsed="false">
      <c r="A28" s="24"/>
      <c r="B28" s="25" t="s">
        <v>42</v>
      </c>
      <c r="C28" s="25" t="n">
        <v>0</v>
      </c>
      <c r="D28" s="221" t="n">
        <v>0</v>
      </c>
      <c r="E28" s="25" t="n">
        <v>0</v>
      </c>
      <c r="F28" s="221" t="n">
        <v>0</v>
      </c>
      <c r="G28" s="25" t="n">
        <v>0</v>
      </c>
      <c r="H28" s="221" t="n">
        <v>0</v>
      </c>
      <c r="I28" s="25" t="n">
        <v>0</v>
      </c>
      <c r="J28" s="221" t="n">
        <v>0</v>
      </c>
    </row>
    <row r="29" customFormat="false" ht="15" hidden="false" customHeight="false" outlineLevel="0" collapsed="false">
      <c r="A29" s="222"/>
      <c r="B29" s="223" t="s">
        <v>22</v>
      </c>
      <c r="C29" s="27" t="n">
        <v>0</v>
      </c>
      <c r="D29" s="224" t="n">
        <v>0</v>
      </c>
      <c r="E29" s="27" t="n">
        <v>0</v>
      </c>
      <c r="F29" s="224" t="n">
        <v>0</v>
      </c>
      <c r="G29" s="27" t="n">
        <v>0</v>
      </c>
      <c r="H29" s="224" t="n">
        <v>0</v>
      </c>
      <c r="I29" s="27" t="n">
        <v>0</v>
      </c>
      <c r="J29" s="224" t="n">
        <v>0</v>
      </c>
    </row>
    <row r="30" customFormat="false" ht="15" hidden="false" customHeight="false" outlineLevel="0" collapsed="false">
      <c r="A30" s="24" t="s">
        <v>87</v>
      </c>
      <c r="B30" s="25" t="s">
        <v>44</v>
      </c>
      <c r="C30" s="25" t="n">
        <v>4</v>
      </c>
      <c r="D30" s="221" t="n">
        <v>1</v>
      </c>
      <c r="E30" s="25" t="n">
        <v>3</v>
      </c>
      <c r="F30" s="221" t="n">
        <v>0.5</v>
      </c>
      <c r="G30" s="25" t="n">
        <v>1</v>
      </c>
      <c r="H30" s="221" t="n">
        <v>0.5</v>
      </c>
      <c r="I30" s="25" t="n">
        <v>8</v>
      </c>
      <c r="J30" s="221" t="n">
        <v>0.666666666666667</v>
      </c>
    </row>
    <row r="31" customFormat="false" ht="15" hidden="false" customHeight="false" outlineLevel="0" collapsed="false">
      <c r="A31" s="24"/>
      <c r="B31" s="25" t="s">
        <v>45</v>
      </c>
      <c r="C31" s="25" t="n">
        <v>0</v>
      </c>
      <c r="D31" s="221" t="n">
        <v>0</v>
      </c>
      <c r="E31" s="25" t="n">
        <v>0</v>
      </c>
      <c r="F31" s="221" t="n">
        <v>0</v>
      </c>
      <c r="G31" s="25" t="n">
        <v>0</v>
      </c>
      <c r="H31" s="221" t="n">
        <v>0</v>
      </c>
      <c r="I31" s="25" t="n">
        <v>0</v>
      </c>
      <c r="J31" s="221" t="n">
        <v>0</v>
      </c>
    </row>
    <row r="32" customFormat="false" ht="15" hidden="false" customHeight="false" outlineLevel="0" collapsed="false">
      <c r="A32" s="24"/>
      <c r="B32" s="25" t="s">
        <v>46</v>
      </c>
      <c r="C32" s="25" t="n">
        <v>0</v>
      </c>
      <c r="D32" s="221" t="n">
        <v>0</v>
      </c>
      <c r="E32" s="25" t="n">
        <v>3</v>
      </c>
      <c r="F32" s="221" t="n">
        <v>0.5</v>
      </c>
      <c r="G32" s="25" t="n">
        <v>1</v>
      </c>
      <c r="H32" s="221" t="n">
        <v>0.5</v>
      </c>
      <c r="I32" s="25" t="n">
        <v>4</v>
      </c>
      <c r="J32" s="221" t="n">
        <v>0.333333333333333</v>
      </c>
    </row>
    <row r="33" customFormat="false" ht="15" hidden="false" customHeight="false" outlineLevel="0" collapsed="false">
      <c r="A33" s="222"/>
      <c r="B33" s="223" t="s">
        <v>22</v>
      </c>
      <c r="C33" s="27" t="n">
        <v>4</v>
      </c>
      <c r="D33" s="224" t="n">
        <v>0.444444444444444</v>
      </c>
      <c r="E33" s="27" t="n">
        <v>6</v>
      </c>
      <c r="F33" s="224" t="n">
        <v>0.214285714285714</v>
      </c>
      <c r="G33" s="27" t="n">
        <v>2</v>
      </c>
      <c r="H33" s="224" t="n">
        <v>0.333333333333333</v>
      </c>
      <c r="I33" s="27" t="n">
        <v>12</v>
      </c>
      <c r="J33" s="224" t="n">
        <v>0.279069767441861</v>
      </c>
    </row>
    <row r="34" customFormat="false" ht="15" hidden="false" customHeight="false" outlineLevel="0" collapsed="false">
      <c r="A34" s="24" t="s">
        <v>90</v>
      </c>
      <c r="B34" s="25" t="s">
        <v>91</v>
      </c>
      <c r="C34" s="25" t="n">
        <v>0</v>
      </c>
      <c r="D34" s="221" t="n">
        <v>0</v>
      </c>
      <c r="E34" s="25" t="n">
        <v>0</v>
      </c>
      <c r="F34" s="221" t="n">
        <v>0</v>
      </c>
      <c r="G34" s="25" t="n">
        <v>0</v>
      </c>
      <c r="H34" s="221" t="n">
        <v>0</v>
      </c>
      <c r="I34" s="25" t="n">
        <v>0</v>
      </c>
      <c r="J34" s="221" t="n">
        <v>0</v>
      </c>
    </row>
    <row r="35" customFormat="false" ht="15" hidden="false" customHeight="false" outlineLevel="0" collapsed="false">
      <c r="A35" s="24"/>
      <c r="B35" s="25" t="s">
        <v>92</v>
      </c>
      <c r="C35" s="25" t="n">
        <v>0</v>
      </c>
      <c r="D35" s="221" t="n">
        <v>0</v>
      </c>
      <c r="E35" s="25" t="n">
        <v>3</v>
      </c>
      <c r="F35" s="221" t="n">
        <v>0.25</v>
      </c>
      <c r="G35" s="25" t="n">
        <v>2</v>
      </c>
      <c r="H35" s="221" t="n">
        <v>1</v>
      </c>
      <c r="I35" s="25" t="n">
        <v>5</v>
      </c>
      <c r="J35" s="221" t="n">
        <v>0.357142857142857</v>
      </c>
    </row>
    <row r="36" customFormat="false" ht="15" hidden="false" customHeight="false" outlineLevel="0" collapsed="false">
      <c r="A36" s="24"/>
      <c r="B36" s="25" t="s">
        <v>93</v>
      </c>
      <c r="C36" s="25" t="n">
        <v>0</v>
      </c>
      <c r="D36" s="221" t="n">
        <v>0</v>
      </c>
      <c r="E36" s="25" t="n">
        <v>0</v>
      </c>
      <c r="F36" s="221" t="n">
        <v>0</v>
      </c>
      <c r="G36" s="25" t="n">
        <v>0</v>
      </c>
      <c r="H36" s="221" t="n">
        <v>0</v>
      </c>
      <c r="I36" s="25" t="n">
        <v>0</v>
      </c>
      <c r="J36" s="221" t="n">
        <v>0</v>
      </c>
    </row>
    <row r="37" customFormat="false" ht="15" hidden="false" customHeight="false" outlineLevel="0" collapsed="false">
      <c r="A37" s="24"/>
      <c r="B37" s="25" t="s">
        <v>94</v>
      </c>
      <c r="C37" s="25" t="n">
        <v>0</v>
      </c>
      <c r="D37" s="221" t="n">
        <v>0</v>
      </c>
      <c r="E37" s="25" t="n">
        <v>5</v>
      </c>
      <c r="F37" s="221" t="n">
        <v>0.416666666666667</v>
      </c>
      <c r="G37" s="25" t="n">
        <v>0</v>
      </c>
      <c r="H37" s="221" t="n">
        <v>0</v>
      </c>
      <c r="I37" s="25" t="n">
        <v>5</v>
      </c>
      <c r="J37" s="221" t="n">
        <v>0.357142857142857</v>
      </c>
    </row>
    <row r="38" customFormat="false" ht="15" hidden="false" customHeight="false" outlineLevel="0" collapsed="false">
      <c r="A38" s="24"/>
      <c r="B38" s="25" t="s">
        <v>95</v>
      </c>
      <c r="C38" s="25" t="n">
        <v>0</v>
      </c>
      <c r="D38" s="221" t="n">
        <v>0</v>
      </c>
      <c r="E38" s="25" t="n">
        <v>1</v>
      </c>
      <c r="F38" s="221" t="n">
        <v>0.0833333333333333</v>
      </c>
      <c r="G38" s="25" t="n">
        <v>0</v>
      </c>
      <c r="H38" s="221" t="n">
        <v>0</v>
      </c>
      <c r="I38" s="25" t="n">
        <v>1</v>
      </c>
      <c r="J38" s="221" t="n">
        <v>0.0714285714285714</v>
      </c>
    </row>
    <row r="39" customFormat="false" ht="15" hidden="false" customHeight="false" outlineLevel="0" collapsed="false">
      <c r="A39" s="24"/>
      <c r="B39" s="25" t="s">
        <v>96</v>
      </c>
      <c r="C39" s="25" t="n">
        <v>0</v>
      </c>
      <c r="D39" s="221" t="n">
        <v>0</v>
      </c>
      <c r="E39" s="25" t="n">
        <v>3</v>
      </c>
      <c r="F39" s="221" t="n">
        <v>0.25</v>
      </c>
      <c r="G39" s="25" t="n">
        <v>0</v>
      </c>
      <c r="H39" s="221" t="n">
        <v>0</v>
      </c>
      <c r="I39" s="25" t="n">
        <v>3</v>
      </c>
      <c r="J39" s="221" t="n">
        <v>0.214285714285714</v>
      </c>
    </row>
    <row r="40" customFormat="false" ht="15" hidden="false" customHeight="false" outlineLevel="0" collapsed="false">
      <c r="A40" s="24"/>
      <c r="B40" s="25" t="s">
        <v>97</v>
      </c>
      <c r="C40" s="25" t="n">
        <v>0</v>
      </c>
      <c r="D40" s="221" t="n">
        <v>0</v>
      </c>
      <c r="E40" s="25" t="n">
        <v>0</v>
      </c>
      <c r="F40" s="221" t="n">
        <v>0</v>
      </c>
      <c r="G40" s="25" t="n">
        <v>0</v>
      </c>
      <c r="H40" s="221" t="n">
        <v>0</v>
      </c>
      <c r="I40" s="25" t="n">
        <v>0</v>
      </c>
      <c r="J40" s="221" t="n">
        <v>0</v>
      </c>
    </row>
    <row r="41" customFormat="false" ht="15" hidden="false" customHeight="false" outlineLevel="0" collapsed="false">
      <c r="A41" s="24"/>
      <c r="B41" s="25" t="s">
        <v>98</v>
      </c>
      <c r="C41" s="25" t="n">
        <v>0</v>
      </c>
      <c r="D41" s="221" t="n">
        <v>0</v>
      </c>
      <c r="E41" s="25" t="n">
        <v>0</v>
      </c>
      <c r="F41" s="221" t="n">
        <v>0</v>
      </c>
      <c r="G41" s="25" t="n">
        <v>0</v>
      </c>
      <c r="H41" s="221" t="n">
        <v>0</v>
      </c>
      <c r="I41" s="25" t="n">
        <v>0</v>
      </c>
      <c r="J41" s="221" t="n">
        <v>0</v>
      </c>
    </row>
    <row r="42" customFormat="false" ht="15" hidden="false" customHeight="false" outlineLevel="0" collapsed="false">
      <c r="A42" s="24"/>
      <c r="B42" s="25" t="s">
        <v>99</v>
      </c>
      <c r="C42" s="25" t="n">
        <v>0</v>
      </c>
      <c r="D42" s="221" t="n">
        <v>0</v>
      </c>
      <c r="E42" s="25" t="n">
        <v>0</v>
      </c>
      <c r="F42" s="221" t="n">
        <v>0</v>
      </c>
      <c r="G42" s="25" t="n">
        <v>0</v>
      </c>
      <c r="H42" s="221" t="n">
        <v>0</v>
      </c>
      <c r="I42" s="25" t="n">
        <v>0</v>
      </c>
      <c r="J42" s="221" t="n">
        <v>0</v>
      </c>
    </row>
    <row r="43" customFormat="false" ht="15" hidden="false" customHeight="false" outlineLevel="0" collapsed="false">
      <c r="A43" s="222"/>
      <c r="B43" s="223" t="s">
        <v>22</v>
      </c>
      <c r="C43" s="27" t="n">
        <v>0</v>
      </c>
      <c r="D43" s="224" t="n">
        <v>0</v>
      </c>
      <c r="E43" s="27" t="n">
        <v>12</v>
      </c>
      <c r="F43" s="224" t="n">
        <v>0.428571428571429</v>
      </c>
      <c r="G43" s="27" t="n">
        <v>2</v>
      </c>
      <c r="H43" s="224" t="n">
        <v>0.333333333333333</v>
      </c>
      <c r="I43" s="27" t="n">
        <v>14</v>
      </c>
      <c r="J43" s="224" t="n">
        <v>0.325581395348837</v>
      </c>
    </row>
    <row r="44" customFormat="false" ht="15" hidden="false" customHeight="false" outlineLevel="0" collapsed="false">
      <c r="A44" s="24" t="s">
        <v>100</v>
      </c>
      <c r="B44" s="25" t="s">
        <v>101</v>
      </c>
      <c r="C44" s="25" t="n">
        <v>2</v>
      </c>
      <c r="D44" s="221" t="n">
        <v>0.5</v>
      </c>
      <c r="E44" s="25" t="n">
        <v>2</v>
      </c>
      <c r="F44" s="221" t="n">
        <v>0.222222222222222</v>
      </c>
      <c r="G44" s="25" t="n">
        <v>1</v>
      </c>
      <c r="H44" s="221" t="n">
        <v>1</v>
      </c>
      <c r="I44" s="25" t="n">
        <v>5</v>
      </c>
      <c r="J44" s="221" t="n">
        <v>0.357142857142857</v>
      </c>
    </row>
    <row r="45" customFormat="false" ht="15" hidden="false" customHeight="false" outlineLevel="0" collapsed="false">
      <c r="A45" s="24"/>
      <c r="B45" s="25" t="s">
        <v>102</v>
      </c>
      <c r="C45" s="25" t="n">
        <v>0</v>
      </c>
      <c r="D45" s="221" t="n">
        <v>0</v>
      </c>
      <c r="E45" s="25" t="n">
        <v>0</v>
      </c>
      <c r="F45" s="221" t="n">
        <v>0</v>
      </c>
      <c r="G45" s="25" t="n">
        <v>0</v>
      </c>
      <c r="H45" s="221" t="n">
        <v>0</v>
      </c>
      <c r="I45" s="25" t="n">
        <v>0</v>
      </c>
      <c r="J45" s="221" t="n">
        <v>0</v>
      </c>
    </row>
    <row r="46" customFormat="false" ht="15" hidden="false" customHeight="false" outlineLevel="0" collapsed="false">
      <c r="A46" s="24"/>
      <c r="B46" s="25" t="s">
        <v>103</v>
      </c>
      <c r="C46" s="25" t="n">
        <v>0</v>
      </c>
      <c r="D46" s="221" t="n">
        <v>0</v>
      </c>
      <c r="E46" s="25" t="n">
        <v>1</v>
      </c>
      <c r="F46" s="221" t="n">
        <v>0.111111111111111</v>
      </c>
      <c r="G46" s="25" t="n">
        <v>0</v>
      </c>
      <c r="H46" s="221" t="n">
        <v>0</v>
      </c>
      <c r="I46" s="25" t="n">
        <v>1</v>
      </c>
      <c r="J46" s="221" t="n">
        <v>0.0714285714285714</v>
      </c>
    </row>
    <row r="47" customFormat="false" ht="15" hidden="false" customHeight="false" outlineLevel="0" collapsed="false">
      <c r="A47" s="24"/>
      <c r="B47" s="25" t="s">
        <v>104</v>
      </c>
      <c r="C47" s="25" t="n">
        <v>0</v>
      </c>
      <c r="D47" s="221" t="n">
        <v>0</v>
      </c>
      <c r="E47" s="25" t="n">
        <v>0</v>
      </c>
      <c r="F47" s="221" t="n">
        <v>0</v>
      </c>
      <c r="G47" s="25" t="n">
        <v>0</v>
      </c>
      <c r="H47" s="221" t="n">
        <v>0</v>
      </c>
      <c r="I47" s="25" t="n">
        <v>0</v>
      </c>
      <c r="J47" s="221" t="n">
        <v>0</v>
      </c>
    </row>
    <row r="48" customFormat="false" ht="15" hidden="false" customHeight="false" outlineLevel="0" collapsed="false">
      <c r="A48" s="24"/>
      <c r="B48" s="25" t="s">
        <v>105</v>
      </c>
      <c r="C48" s="25" t="n">
        <v>0</v>
      </c>
      <c r="D48" s="221" t="n">
        <v>0</v>
      </c>
      <c r="E48" s="25" t="n">
        <v>0</v>
      </c>
      <c r="F48" s="221" t="n">
        <v>0</v>
      </c>
      <c r="G48" s="25" t="n">
        <v>0</v>
      </c>
      <c r="H48" s="221" t="n">
        <v>0</v>
      </c>
      <c r="I48" s="25" t="n">
        <v>0</v>
      </c>
      <c r="J48" s="221" t="n">
        <v>0</v>
      </c>
    </row>
    <row r="49" customFormat="false" ht="15" hidden="false" customHeight="false" outlineLevel="0" collapsed="false">
      <c r="A49" s="24"/>
      <c r="B49" s="25" t="s">
        <v>106</v>
      </c>
      <c r="C49" s="25" t="n">
        <v>0</v>
      </c>
      <c r="D49" s="221" t="n">
        <v>0</v>
      </c>
      <c r="E49" s="25" t="n">
        <v>0</v>
      </c>
      <c r="F49" s="221" t="n">
        <v>0</v>
      </c>
      <c r="G49" s="25" t="n">
        <v>0</v>
      </c>
      <c r="H49" s="221" t="n">
        <v>0</v>
      </c>
      <c r="I49" s="25" t="n">
        <v>0</v>
      </c>
      <c r="J49" s="221" t="n">
        <v>0</v>
      </c>
    </row>
    <row r="50" customFormat="false" ht="15" hidden="false" customHeight="false" outlineLevel="0" collapsed="false">
      <c r="A50" s="24"/>
      <c r="B50" s="25" t="s">
        <v>107</v>
      </c>
      <c r="C50" s="25" t="n">
        <v>0</v>
      </c>
      <c r="D50" s="221" t="n">
        <v>0</v>
      </c>
      <c r="E50" s="25" t="n">
        <v>0</v>
      </c>
      <c r="F50" s="221" t="n">
        <v>0</v>
      </c>
      <c r="G50" s="25" t="n">
        <v>0</v>
      </c>
      <c r="H50" s="221" t="n">
        <v>0</v>
      </c>
      <c r="I50" s="25" t="n">
        <v>0</v>
      </c>
      <c r="J50" s="221" t="n">
        <v>0</v>
      </c>
    </row>
    <row r="51" customFormat="false" ht="15" hidden="false" customHeight="false" outlineLevel="0" collapsed="false">
      <c r="A51" s="24"/>
      <c r="B51" s="25" t="s">
        <v>108</v>
      </c>
      <c r="C51" s="25" t="n">
        <v>1</v>
      </c>
      <c r="D51" s="221" t="n">
        <v>0.25</v>
      </c>
      <c r="E51" s="25" t="n">
        <v>0</v>
      </c>
      <c r="F51" s="221" t="n">
        <v>0</v>
      </c>
      <c r="G51" s="25" t="n">
        <v>0</v>
      </c>
      <c r="H51" s="221" t="n">
        <v>0</v>
      </c>
      <c r="I51" s="25" t="n">
        <v>1</v>
      </c>
      <c r="J51" s="221" t="n">
        <v>0.0714285714285714</v>
      </c>
    </row>
    <row r="52" customFormat="false" ht="15" hidden="false" customHeight="false" outlineLevel="0" collapsed="false">
      <c r="A52" s="24"/>
      <c r="B52" s="25" t="s">
        <v>109</v>
      </c>
      <c r="C52" s="25" t="n">
        <v>0</v>
      </c>
      <c r="D52" s="221" t="n">
        <v>0</v>
      </c>
      <c r="E52" s="25" t="n">
        <v>2</v>
      </c>
      <c r="F52" s="221" t="n">
        <v>0.222222222222222</v>
      </c>
      <c r="G52" s="25" t="n">
        <v>0</v>
      </c>
      <c r="H52" s="221" t="n">
        <v>0</v>
      </c>
      <c r="I52" s="25" t="n">
        <v>2</v>
      </c>
      <c r="J52" s="221" t="n">
        <v>0.142857142857143</v>
      </c>
    </row>
    <row r="53" customFormat="false" ht="15" hidden="false" customHeight="false" outlineLevel="0" collapsed="false">
      <c r="A53" s="24"/>
      <c r="B53" s="25" t="s">
        <v>110</v>
      </c>
      <c r="C53" s="25" t="n">
        <v>0</v>
      </c>
      <c r="D53" s="221" t="n">
        <v>0</v>
      </c>
      <c r="E53" s="25" t="n">
        <v>1</v>
      </c>
      <c r="F53" s="221" t="n">
        <v>0.111111111111111</v>
      </c>
      <c r="G53" s="25" t="n">
        <v>0</v>
      </c>
      <c r="H53" s="221" t="n">
        <v>0</v>
      </c>
      <c r="I53" s="25" t="n">
        <v>1</v>
      </c>
      <c r="J53" s="221" t="n">
        <v>0.0714285714285714</v>
      </c>
    </row>
    <row r="54" customFormat="false" ht="15" hidden="false" customHeight="false" outlineLevel="0" collapsed="false">
      <c r="A54" s="24"/>
      <c r="B54" s="25" t="s">
        <v>111</v>
      </c>
      <c r="C54" s="25" t="n">
        <v>0</v>
      </c>
      <c r="D54" s="221" t="n">
        <v>0</v>
      </c>
      <c r="E54" s="25" t="n">
        <v>0</v>
      </c>
      <c r="F54" s="221" t="n">
        <v>0</v>
      </c>
      <c r="G54" s="25" t="n">
        <v>0</v>
      </c>
      <c r="H54" s="221" t="n">
        <v>0</v>
      </c>
      <c r="I54" s="25" t="n">
        <v>0</v>
      </c>
      <c r="J54" s="221" t="n">
        <v>0</v>
      </c>
    </row>
    <row r="55" customFormat="false" ht="15" hidden="false" customHeight="false" outlineLevel="0" collapsed="false">
      <c r="A55" s="24"/>
      <c r="B55" s="25" t="s">
        <v>112</v>
      </c>
      <c r="C55" s="25" t="n">
        <v>0</v>
      </c>
      <c r="D55" s="221" t="n">
        <v>0</v>
      </c>
      <c r="E55" s="25" t="n">
        <v>0</v>
      </c>
      <c r="F55" s="221" t="n">
        <v>0</v>
      </c>
      <c r="G55" s="25" t="n">
        <v>0</v>
      </c>
      <c r="H55" s="221" t="n">
        <v>0</v>
      </c>
      <c r="I55" s="25" t="n">
        <v>0</v>
      </c>
      <c r="J55" s="221" t="n">
        <v>0</v>
      </c>
    </row>
    <row r="56" customFormat="false" ht="15" hidden="false" customHeight="false" outlineLevel="0" collapsed="false">
      <c r="A56" s="24"/>
      <c r="B56" s="25" t="s">
        <v>113</v>
      </c>
      <c r="C56" s="25" t="n">
        <v>0</v>
      </c>
      <c r="D56" s="221" t="n">
        <v>0</v>
      </c>
      <c r="E56" s="25" t="n">
        <v>0</v>
      </c>
      <c r="F56" s="221" t="n">
        <v>0</v>
      </c>
      <c r="G56" s="25" t="n">
        <v>0</v>
      </c>
      <c r="H56" s="221" t="n">
        <v>0</v>
      </c>
      <c r="I56" s="25" t="n">
        <v>0</v>
      </c>
      <c r="J56" s="221" t="n">
        <v>0</v>
      </c>
    </row>
    <row r="57" customFormat="false" ht="15" hidden="false" customHeight="false" outlineLevel="0" collapsed="false">
      <c r="A57" s="24"/>
      <c r="B57" s="25" t="s">
        <v>114</v>
      </c>
      <c r="C57" s="25" t="n">
        <v>0</v>
      </c>
      <c r="D57" s="221" t="n">
        <v>0</v>
      </c>
      <c r="E57" s="25" t="n">
        <v>0</v>
      </c>
      <c r="F57" s="221" t="n">
        <v>0</v>
      </c>
      <c r="G57" s="25" t="n">
        <v>0</v>
      </c>
      <c r="H57" s="221" t="n">
        <v>0</v>
      </c>
      <c r="I57" s="25" t="n">
        <v>0</v>
      </c>
      <c r="J57" s="221" t="n">
        <v>0</v>
      </c>
    </row>
    <row r="58" customFormat="false" ht="15" hidden="false" customHeight="false" outlineLevel="0" collapsed="false">
      <c r="A58" s="24"/>
      <c r="B58" s="25" t="s">
        <v>115</v>
      </c>
      <c r="C58" s="25" t="n">
        <v>1</v>
      </c>
      <c r="D58" s="221" t="n">
        <v>0.25</v>
      </c>
      <c r="E58" s="25" t="n">
        <v>3</v>
      </c>
      <c r="F58" s="221" t="n">
        <v>0.333333333333333</v>
      </c>
      <c r="G58" s="25" t="n">
        <v>0</v>
      </c>
      <c r="H58" s="221" t="n">
        <v>0</v>
      </c>
      <c r="I58" s="25" t="n">
        <v>4</v>
      </c>
      <c r="J58" s="221" t="n">
        <v>0.285714285714286</v>
      </c>
    </row>
    <row r="59" customFormat="false" ht="15" hidden="false" customHeight="false" outlineLevel="0" collapsed="false">
      <c r="A59" s="24"/>
      <c r="B59" s="25" t="s">
        <v>116</v>
      </c>
      <c r="C59" s="25" t="n">
        <v>0</v>
      </c>
      <c r="D59" s="221" t="n">
        <v>0</v>
      </c>
      <c r="E59" s="25" t="n">
        <v>0</v>
      </c>
      <c r="F59" s="221" t="n">
        <v>0</v>
      </c>
      <c r="G59" s="25" t="n">
        <v>0</v>
      </c>
      <c r="H59" s="221" t="n">
        <v>0</v>
      </c>
      <c r="I59" s="25" t="n">
        <v>0</v>
      </c>
      <c r="J59" s="221" t="n">
        <v>0</v>
      </c>
    </row>
    <row r="60" customFormat="false" ht="15" hidden="false" customHeight="false" outlineLevel="0" collapsed="false">
      <c r="A60" s="222"/>
      <c r="B60" s="223" t="s">
        <v>22</v>
      </c>
      <c r="C60" s="27" t="n">
        <v>4</v>
      </c>
      <c r="D60" s="224" t="n">
        <v>0.444444444444444</v>
      </c>
      <c r="E60" s="27" t="n">
        <v>9</v>
      </c>
      <c r="F60" s="224" t="n">
        <v>0.321428571428571</v>
      </c>
      <c r="G60" s="27" t="n">
        <v>1</v>
      </c>
      <c r="H60" s="224" t="n">
        <v>0.166666666666667</v>
      </c>
      <c r="I60" s="27" t="n">
        <v>14</v>
      </c>
      <c r="J60" s="224" t="n">
        <v>0.325581395348837</v>
      </c>
    </row>
    <row r="61" customFormat="false" ht="15" hidden="false" customHeight="false" outlineLevel="0" collapsed="false">
      <c r="A61" s="29"/>
      <c r="B61" s="29" t="s">
        <v>74</v>
      </c>
      <c r="C61" s="26" t="n">
        <v>9</v>
      </c>
      <c r="D61" s="225" t="n">
        <v>0.209302325581395</v>
      </c>
      <c r="E61" s="26" t="n">
        <v>28</v>
      </c>
      <c r="F61" s="225" t="n">
        <v>0.651162790697675</v>
      </c>
      <c r="G61" s="26" t="n">
        <v>6</v>
      </c>
      <c r="H61" s="225" t="n">
        <v>0.13953488372093</v>
      </c>
      <c r="I61" s="26" t="n">
        <v>43</v>
      </c>
      <c r="J61" s="225" t="n">
        <v>1</v>
      </c>
    </row>
    <row r="62" customFormat="false" ht="15" hidden="false" customHeight="false" outlineLevel="0" collapsed="false">
      <c r="A62" s="34" t="s">
        <v>118</v>
      </c>
    </row>
  </sheetData>
  <mergeCells count="8">
    <mergeCell ref="A1:J1"/>
    <mergeCell ref="C2:H2"/>
    <mergeCell ref="A3:A4"/>
    <mergeCell ref="B3:B4"/>
    <mergeCell ref="C3:D3"/>
    <mergeCell ref="E3:F3"/>
    <mergeCell ref="G3:H3"/>
    <mergeCell ref="I3:J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8"/>
  <sheetViews>
    <sheetView showFormulas="false" showGridLines="true" showRowColHeaders="true" showZeros="true" rightToLeft="false" tabSelected="false" showOutlineSymbols="true" defaultGridColor="true" view="normal" topLeftCell="A73" colorId="64" zoomScale="100" zoomScaleNormal="100" zoomScalePageLayoutView="100" workbookViewId="0">
      <selection pane="topLeft" activeCell="B71" activeCellId="0" sqref="B71"/>
    </sheetView>
  </sheetViews>
  <sheetFormatPr defaultRowHeight="15" outlineLevelRow="0" outlineLevelCol="0"/>
  <cols>
    <col collapsed="false" customWidth="true" hidden="false" outlineLevel="0" max="1" min="1" style="0" width="26.42"/>
    <col collapsed="false" customWidth="true" hidden="false" outlineLevel="0" max="2" min="2" style="0" width="20.14"/>
    <col collapsed="false" customWidth="true" hidden="false" outlineLevel="0" max="1025" min="3" style="0" width="8.67"/>
  </cols>
  <sheetData>
    <row r="1" customFormat="false" ht="15" hidden="false" customHeight="false" outlineLevel="0" collapsed="false">
      <c r="A1" s="226" t="s">
        <v>447</v>
      </c>
    </row>
    <row r="2" customFormat="false" ht="15" hidden="false" customHeight="false" outlineLevel="0" collapsed="false">
      <c r="A2" s="0" t="s">
        <v>448</v>
      </c>
    </row>
    <row r="3" customFormat="false" ht="15" hidden="false" customHeight="false" outlineLevel="0" collapsed="false">
      <c r="A3" s="0" t="s">
        <v>449</v>
      </c>
    </row>
    <row r="4" customFormat="false" ht="15" hidden="false" customHeight="false" outlineLevel="0" collapsed="false">
      <c r="B4" s="226" t="s">
        <v>1</v>
      </c>
      <c r="C4" s="181" t="s">
        <v>450</v>
      </c>
      <c r="D4" s="181"/>
      <c r="E4" s="181"/>
      <c r="F4" s="181"/>
      <c r="G4" s="181"/>
      <c r="H4" s="181"/>
    </row>
    <row r="5" customFormat="false" ht="15" hidden="false" customHeight="true" outlineLevel="0" collapsed="false">
      <c r="A5" s="108" t="s">
        <v>2</v>
      </c>
      <c r="B5" s="23" t="s">
        <v>121</v>
      </c>
      <c r="C5" s="107" t="s">
        <v>339</v>
      </c>
      <c r="D5" s="107"/>
      <c r="E5" s="23" t="s">
        <v>162</v>
      </c>
      <c r="F5" s="23"/>
      <c r="G5" s="23" t="s">
        <v>127</v>
      </c>
      <c r="H5" s="23"/>
      <c r="I5" s="23" t="s">
        <v>12</v>
      </c>
      <c r="J5" s="23"/>
    </row>
    <row r="6" customFormat="false" ht="15" hidden="false" customHeight="false" outlineLevel="0" collapsed="false">
      <c r="A6" s="108"/>
      <c r="B6" s="23"/>
      <c r="C6" s="107" t="s">
        <v>254</v>
      </c>
      <c r="D6" s="23" t="s">
        <v>255</v>
      </c>
      <c r="E6" s="23" t="s">
        <v>254</v>
      </c>
      <c r="F6" s="23" t="s">
        <v>255</v>
      </c>
      <c r="G6" s="23" t="s">
        <v>254</v>
      </c>
      <c r="H6" s="133" t="s">
        <v>255</v>
      </c>
      <c r="I6" s="23" t="s">
        <v>254</v>
      </c>
      <c r="J6" s="23" t="s">
        <v>255</v>
      </c>
    </row>
    <row r="7" customFormat="false" ht="15.75" hidden="false" customHeight="false" outlineLevel="0" collapsed="false">
      <c r="A7" s="174" t="s">
        <v>17</v>
      </c>
      <c r="B7" s="227" t="s">
        <v>18</v>
      </c>
      <c r="C7" s="25" t="n">
        <f aca="false">COUNTIFS([1]SurveyDATA!KX$1:KX$1048576,"Y",[1]SurveyDATA!KI$1:KI$1048576,"*RELOCATION*",[1]SurveyDATA!VX$1:VX$1048576,"*SAMPLING*",[1]SurveyDATA!E$1:E$1048576,"*TIKAY*",[1]SurveyDATA!JR$1:JR$1048576,"*NEED*")</f>
        <v>0</v>
      </c>
      <c r="D7" s="221" t="e">
        <f aca="false">C7/$C$10</f>
        <v>#DIV/0!</v>
      </c>
      <c r="E7" s="25" t="n">
        <f aca="false">COUNTIFS([1]SurveyDATA!KX$1:KX$1048576,"No",[1]SurveyDATA!KI$1:KI$1048576,"*CASH*",[1]SurveyDATA!VX$1:VX$1048576,"*SAMPLING*",[1]SurveyDATA!E$1:E$1048576,"*TIKAY*",[1]SurveyDATA!JR$1:JR$1048576,"*NEED*")</f>
        <v>0</v>
      </c>
      <c r="F7" s="221" t="e">
        <f aca="false">E7/$C$10</f>
        <v>#DIV/0!</v>
      </c>
      <c r="G7" s="112" t="n">
        <f aca="false">COUNTIFS([1]SurveyDATA!KX$1:KX$1048576,"",[1]SurveyDATA!KI$1:KI$1048576,"*NO*",[1]SurveyDATA!VX$1:VX$1048576,"*SAMPLING*",[1]SurveyDATA!E$1:E$1048576,"*TIKAY*",[1]SurveyDATA!JR$1:JR$1048576,"*NEED*")</f>
        <v>0</v>
      </c>
      <c r="H7" s="228" t="n">
        <v>0</v>
      </c>
      <c r="I7" s="111" t="n">
        <f aca="false">SUM(G7,E7,C7)</f>
        <v>0</v>
      </c>
      <c r="J7" s="221" t="e">
        <f aca="false">I7/I$10</f>
        <v>#DIV/0!</v>
      </c>
    </row>
    <row r="8" customFormat="false" ht="15.75" hidden="false" customHeight="false" outlineLevel="0" collapsed="false">
      <c r="A8" s="229"/>
      <c r="B8" s="227" t="s">
        <v>19</v>
      </c>
      <c r="C8" s="25" t="n">
        <f aca="false">COUNTIFS([1]SurveyDATA!KX$1:KX$1048576,"Y",[1]SurveyDATA!KI$1:KI$1048576,"*RELOCATION*",[1]SurveyDATA!VX$1:VX$1048576,"*SAMPLING*",[1]SurveyDATA!E$1:E$1048576,"*BULIHAN*",[1]SurveyDATA!JR$1:JR$1048576,"*NEED*")</f>
        <v>0</v>
      </c>
      <c r="D8" s="221" t="e">
        <f aca="false">C8/$C$10</f>
        <v>#DIV/0!</v>
      </c>
      <c r="E8" s="25" t="n">
        <f aca="false">COUNTIFS([1]SurveyDATA!KX$1:KX$1048576,"No",[1]SurveyDATA!KI$1:KI$1048576,"*CASH*",[1]SurveyDATA!VX$1:VX$1048576,"*SAMPLING*",[1]SurveyDATA!E$1:E$1048576,"*BULIHAN*",[1]SurveyDATA!JR$1:JR$1048576,"*NEED*")</f>
        <v>0</v>
      </c>
      <c r="F8" s="221" t="e">
        <f aca="false">E8/$C$10</f>
        <v>#DIV/0!</v>
      </c>
      <c r="G8" s="112" t="n">
        <f aca="false">COUNTIFS([1]SurveyDATA!KX$1:KX$1048576,"",[1]SurveyDATA!KI$1:KI$1048576,"*NO*",[1]SurveyDATA!VX$1:VX$1048576,"*SAMPLING*",[1]SurveyDATA!E$1:E$1048576,"*BULIHAN*",[1]SurveyDATA!JR$1:JR$1048576,"*NEED*")</f>
        <v>0</v>
      </c>
      <c r="H8" s="228" t="n">
        <v>0</v>
      </c>
      <c r="I8" s="111" t="n">
        <f aca="false">SUM(G8,E8,C8)</f>
        <v>0</v>
      </c>
      <c r="J8" s="221" t="e">
        <f aca="false">I8/I$10</f>
        <v>#DIV/0!</v>
      </c>
    </row>
    <row r="9" customFormat="false" ht="15.75" hidden="false" customHeight="false" outlineLevel="0" collapsed="false">
      <c r="A9" s="229"/>
      <c r="B9" s="227" t="s">
        <v>20</v>
      </c>
      <c r="C9" s="25" t="n">
        <f aca="false">COUNTIFS([1]SurveyDATA!KX$1:KX$1048576,"Y",[1]SurveyDATA!KI$1:KI$1048576,"*RELOCATION*",[1]SurveyDATA!VX$1:VX$1048576,"*SAMPLING*",[1]SurveyDATA!E$1:E$1048576,"*PABLO*",[1]SurveyDATA!JR$1:JR$1048576,"*NEED*")</f>
        <v>0</v>
      </c>
      <c r="D9" s="221" t="e">
        <f aca="false">C9/$C$10</f>
        <v>#DIV/0!</v>
      </c>
      <c r="E9" s="25" t="n">
        <f aca="false">COUNTIFS([1]SurveyDATA!KX$1:KX$1048576,"No",[1]SurveyDATA!KI$1:KI$1048576,"*CASH*",[1]SurveyDATA!VX$1:VX$1048576,"*SAMPLING*",[1]SurveyDATA!E$1:E$1048576,"*PABLO*",[1]SurveyDATA!JR$1:JR$1048576,"*NEED*")</f>
        <v>0</v>
      </c>
      <c r="F9" s="221" t="e">
        <f aca="false">E9/$C$10</f>
        <v>#DIV/0!</v>
      </c>
      <c r="G9" s="112" t="n">
        <f aca="false">COUNTIFS([1]SurveyDATA!KX$1:KX$1048576,"",[1]SurveyDATA!KI$1:KI$1048576,"*NO*",[1]SurveyDATA!VX$1:VX$1048576,"*SAMPLING*",[1]SurveyDATA!E$1:E$1048576,"*PABLO*",[1]SurveyDATA!JR$1:JR$1048576,"*NEED*")</f>
        <v>0</v>
      </c>
      <c r="H9" s="228" t="n">
        <v>0</v>
      </c>
      <c r="I9" s="111" t="n">
        <f aca="false">SUM(G9,E9,C9)</f>
        <v>0</v>
      </c>
      <c r="J9" s="221" t="e">
        <f aca="false">I9/I$10</f>
        <v>#DIV/0!</v>
      </c>
    </row>
    <row r="10" customFormat="false" ht="15.75" hidden="false" customHeight="false" outlineLevel="0" collapsed="false">
      <c r="A10" s="229"/>
      <c r="B10" s="227" t="s">
        <v>21</v>
      </c>
      <c r="C10" s="25" t="n">
        <f aca="false">COUNTIFS([1]SurveyDATA!KX$1:KX$1048576,"Y",[1]SurveyDATA!KI$1:KI$1048576,"*RELOCATION*",[1]SurveyDATA!VX$1:VX$1048576,"*SAMPLING*",[1]SurveyDATA!E$1:E$1048576,"*CATMON*",[1]SurveyDATA!JR$1:JR$1048576,"*NEED*")</f>
        <v>0</v>
      </c>
      <c r="D10" s="221" t="e">
        <f aca="false">C10/$C$10</f>
        <v>#DIV/0!</v>
      </c>
      <c r="E10" s="25" t="n">
        <f aca="false">COUNTIFS([1]SurveyDATA!KX$1:KX$1048576,"No",[1]SurveyDATA!KI$1:KI$1048576,"*CASH*",[1]SurveyDATA!VX$1:VX$1048576,"*SAMPLING*",[1]SurveyDATA!E$1:E$1048576,"*CATMON*",[1]SurveyDATA!JR$1:JR$1048576,"*NEED*")</f>
        <v>0</v>
      </c>
      <c r="F10" s="221" t="e">
        <f aca="false">E10/$C$10</f>
        <v>#DIV/0!</v>
      </c>
      <c r="G10" s="112" t="n">
        <f aca="false">COUNTIFS([1]SurveyDATA!KX$1:KX$1048576,"",[1]SurveyDATA!KI$1:KI$1048576,"*NO*",[1]SurveyDATA!VX$1:VX$1048576,"*SAMPLING*",[1]SurveyDATA!E$1:E$1048576,"*CATMON*",[1]SurveyDATA!JR$1:JR$1048576,"*NEED*")</f>
        <v>0</v>
      </c>
      <c r="H10" s="228" t="n">
        <v>0</v>
      </c>
      <c r="I10" s="111" t="n">
        <f aca="false">SUM(G10,E10,C10)</f>
        <v>0</v>
      </c>
      <c r="J10" s="221" t="e">
        <f aca="false">I10/I$10</f>
        <v>#DIV/0!</v>
      </c>
    </row>
    <row r="11" customFormat="false" ht="15.75" hidden="false" customHeight="false" outlineLevel="0" collapsed="false">
      <c r="A11" s="230"/>
      <c r="B11" s="231" t="s">
        <v>22</v>
      </c>
      <c r="C11" s="27" t="n">
        <f aca="false">COUNTIFS([1]SurveyDATA!KX$1:KX$1048576,"Y",[1]SurveyDATA!KI$1:KI$1048576,"*RELOCATION*",[1]SurveyDATA!VX$1:VX$1048576,"*SAMPLING*",[1]SurveyDATA!E$1:E$1048576,"*MALOLOS*",[1]SurveyDATA!JR$1:JR$1048576,"*NEED*")</f>
        <v>0</v>
      </c>
      <c r="D11" s="224" t="e">
        <f aca="false">C11/I11</f>
        <v>#DIV/0!</v>
      </c>
      <c r="E11" s="27" t="n">
        <f aca="false">COUNTIFS([1]SurveyDATA!KX$1:KX$1048576,"No",[1]SurveyDATA!KI$1:KI$1048576,"*CASH*",[1]SurveyDATA!VX$1:VX$1048576,"*SAMPLING*",[1]SurveyDATA!E$1:E$1048576,"*MALOLOS*",[1]SurveyDATA!JR$1:JR$1048576,"*NEED*")</f>
        <v>0</v>
      </c>
      <c r="F11" s="224" t="e">
        <f aca="false">E11/E63</f>
        <v>#DIV/0!</v>
      </c>
      <c r="G11" s="27" t="n">
        <f aca="false">COUNTIFS([1]SurveyDATA!KX$1:KX$1048576,"",[1]SurveyDATA!KI$1:KI$1048576,"*NO*",[1]SurveyDATA!VX$1:VX$1048576,"*SAMPLING*",[1]SurveyDATA!E$1:E$1048576,"*MALOLOS*",[1]SurveyDATA!JR$1:JR$1048576,"*NEED*")</f>
        <v>0</v>
      </c>
      <c r="H11" s="232" t="e">
        <f aca="false">G11/G63</f>
        <v>#DIV/0!</v>
      </c>
      <c r="I11" s="27" t="n">
        <f aca="false">SUM(G11,E11,C11)</f>
        <v>0</v>
      </c>
      <c r="J11" s="224" t="e">
        <f aca="false">I11/I63</f>
        <v>#DIV/0!</v>
      </c>
    </row>
    <row r="12" customFormat="false" ht="15.75" hidden="false" customHeight="false" outlineLevel="0" collapsed="false">
      <c r="A12" s="174" t="s">
        <v>23</v>
      </c>
      <c r="B12" s="227" t="s">
        <v>24</v>
      </c>
      <c r="C12" s="25" t="n">
        <f aca="false">COUNTIFS([1]SurveyDATA!KX$1:KX$1048576,"Y",[1]SurveyDATA!KI$1:KI$1048576,"*RELOCATION*",[1]SurveyDATA!VX$1:VX$1048576,"*SAMPLING*",[1]SurveyDATA!E$1:E$1048576,"*POBLACION*",[1]SurveyDATA!JR$1:JR$1048576,"*NEED*")</f>
        <v>0</v>
      </c>
      <c r="D12" s="221" t="e">
        <f aca="false">C12/C$15</f>
        <v>#DIV/0!</v>
      </c>
      <c r="E12" s="25" t="n">
        <f aca="false">COUNTIFS([1]SurveyDATA!KX$1:KX$1048576,"No",[1]SurveyDATA!KI$1:KI$1048576,"*CASH*",[1]SurveyDATA!VX$1:VX$1048576,"*SAMPLING*",[1]SurveyDATA!E$1:E$1048576,"*POBLACION*",[1]SurveyDATA!JR$1:JR$1048576,"*NEED*")</f>
        <v>0</v>
      </c>
      <c r="F12" s="221" t="e">
        <f aca="false">E12/E$15</f>
        <v>#DIV/0!</v>
      </c>
      <c r="G12" s="112" t="n">
        <f aca="false">COUNTIFS([1]SurveyDATA!KX$1:KX$1048576,"",[1]SurveyDATA!KI$1:KI$1048576,"*NO*",[1]SurveyDATA!VX$1:VX$1048576,"*SAMPLING*",[1]SurveyDATA!E$1:E$1048576,"*POBLACION*",[1]SurveyDATA!JR$1:JR$1048576,"*NEED*")</f>
        <v>0</v>
      </c>
      <c r="H12" s="228" t="n">
        <v>0</v>
      </c>
      <c r="I12" s="111" t="n">
        <f aca="false">SUM(G12,E12,C12)</f>
        <v>0</v>
      </c>
      <c r="J12" s="221" t="e">
        <f aca="false">I12/$I$15</f>
        <v>#DIV/0!</v>
      </c>
    </row>
    <row r="13" customFormat="false" ht="15.75" hidden="false" customHeight="false" outlineLevel="0" collapsed="false">
      <c r="A13" s="233"/>
      <c r="B13" s="227" t="s">
        <v>25</v>
      </c>
      <c r="C13" s="25" t="n">
        <f aca="false">COUNTIFS([1]SurveyDATA!KX$1:KX$1048576,"Y",[1]SurveyDATA!KI$1:KI$1048576,"*RELOCATION*",[1]SurveyDATA!VX$1:VX$1048576,"*SAMPLING*",[1]SurveyDATA!E$1:E$1048576,"*TUKTUKAN*",[1]SurveyDATA!JR$1:JR$1048576,"*NEED*")</f>
        <v>0</v>
      </c>
      <c r="D13" s="221" t="e">
        <f aca="false">C13/C$15</f>
        <v>#DIV/0!</v>
      </c>
      <c r="E13" s="25" t="n">
        <f aca="false">COUNTIFS([1]SurveyDATA!KX$1:KX$1048576,"No",[1]SurveyDATA!KI$1:KI$1048576,"*CASH*",[1]SurveyDATA!VX$1:VX$1048576,"*SAMPLING*",[1]SurveyDATA!E$1:E$1048576,"*TUKTUKAN*",[1]SurveyDATA!JR$1:JR$1048576,"*NEED*")</f>
        <v>0</v>
      </c>
      <c r="F13" s="221" t="e">
        <f aca="false">E13/E$15</f>
        <v>#DIV/0!</v>
      </c>
      <c r="G13" s="112" t="n">
        <f aca="false">COUNTIFS([1]SurveyDATA!KX$1:KX$1048576,"",[1]SurveyDATA!KI$1:KI$1048576,"*NO*",[1]SurveyDATA!VX$1:VX$1048576,"*SAMPLING*",[1]SurveyDATA!E$1:E$1048576,"*TUKTUKAN*",[1]SurveyDATA!JR$1:JR$1048576,"*NEED*")</f>
        <v>0</v>
      </c>
      <c r="H13" s="228" t="n">
        <v>0</v>
      </c>
      <c r="I13" s="111" t="n">
        <f aca="false">SUM(G13,E13,C13)</f>
        <v>0</v>
      </c>
      <c r="J13" s="221" t="e">
        <f aca="false">I13/$I$15</f>
        <v>#DIV/0!</v>
      </c>
    </row>
    <row r="14" customFormat="false" ht="15.75" hidden="false" customHeight="false" outlineLevel="0" collapsed="false">
      <c r="A14" s="233"/>
      <c r="B14" s="227" t="s">
        <v>26</v>
      </c>
      <c r="C14" s="25" t="n">
        <f aca="false">COUNTIFS([1]SurveyDATA!KX$1:KX$1048576,"Y",[1]SurveyDATA!KI$1:KI$1048576,"*RELOCATION*",[1]SurveyDATA!VX$1:VX$1048576,"*SAMPLING*",[1]SurveyDATA!E$1:E$1048576,"*CRUZ G*",[1]SurveyDATA!JR$1:JR$1048576,"*NEED*")</f>
        <v>0</v>
      </c>
      <c r="D14" s="221" t="e">
        <f aca="false">C14/C$15</f>
        <v>#DIV/0!</v>
      </c>
      <c r="E14" s="25" t="n">
        <f aca="false">COUNTIFS([1]SurveyDATA!KX$1:KX$1048576,"No",[1]SurveyDATA!KI$1:KI$1048576,"*CASH*",[1]SurveyDATA!VX$1:VX$1048576,"*SAMPLING*",[1]SurveyDATA!E$1:E$1048576,"*CRUZ G*",[1]SurveyDATA!JR$1:JR$1048576,"*NEED*")</f>
        <v>0</v>
      </c>
      <c r="F14" s="221" t="e">
        <f aca="false">E14/E$15</f>
        <v>#DIV/0!</v>
      </c>
      <c r="G14" s="112" t="n">
        <f aca="false">COUNTIFS([1]SurveyDATA!KX$1:KX$1048576,"",[1]SurveyDATA!KI$1:KI$1048576,"*NO*",[1]SurveyDATA!VX$1:VX$1048576,"*SAMPLING*",[1]SurveyDATA!E$1:E$1048576,"*CRUZ G*",[1]SurveyDATA!JR$1:JR$1048576,"*NEED*")</f>
        <v>0</v>
      </c>
      <c r="H14" s="228" t="n">
        <v>0</v>
      </c>
      <c r="I14" s="111" t="n">
        <f aca="false">SUM(G14,E14,C14)</f>
        <v>0</v>
      </c>
      <c r="J14" s="221" t="e">
        <f aca="false">I14/$I$15</f>
        <v>#DIV/0!</v>
      </c>
    </row>
    <row r="15" customFormat="false" ht="15.75" hidden="false" customHeight="false" outlineLevel="0" collapsed="false">
      <c r="A15" s="233"/>
      <c r="B15" s="227" t="s">
        <v>27</v>
      </c>
      <c r="C15" s="25" t="n">
        <f aca="false">COUNTIFS([1]SurveyDATA!KX$1:KX$1048576,"Y",[1]SurveyDATA!KI$1:KI$1048576,"*RELOCATION*",[1]SurveyDATA!VX$1:VX$1048576,"*SAMPLING*",[1]SurveyDATA!E$1:E$1048576,"*TABANG*",[1]SurveyDATA!JR$1:JR$1048576,"*NEED*")</f>
        <v>0</v>
      </c>
      <c r="D15" s="221" t="e">
        <f aca="false">C15/C$15</f>
        <v>#DIV/0!</v>
      </c>
      <c r="E15" s="25" t="n">
        <f aca="false">COUNTIFS([1]SurveyDATA!KX$1:KX$1048576,"No",[1]SurveyDATA!KI$1:KI$1048576,"*CASH*",[1]SurveyDATA!VX$1:VX$1048576,"*SAMPLING*",[1]SurveyDATA!E$1:E$1048576,"*TABANG*",[1]SurveyDATA!JR$1:JR$1048576,"*NEED*")</f>
        <v>0</v>
      </c>
      <c r="F15" s="221" t="e">
        <f aca="false">E15/E$15</f>
        <v>#DIV/0!</v>
      </c>
      <c r="G15" s="112" t="n">
        <f aca="false">COUNTIFS([1]SurveyDATA!KX$1:KX$1048576,"",[1]SurveyDATA!KI$1:KI$1048576,"*NO*",[1]SurveyDATA!VX$1:VX$1048576,"*SAMPLING*",[1]SurveyDATA!E$1:E$1048576,"*TABANG*",[1]SurveyDATA!JR$1:JR$1048576,"*NEED*")</f>
        <v>0</v>
      </c>
      <c r="H15" s="228" t="n">
        <v>0</v>
      </c>
      <c r="I15" s="111" t="n">
        <f aca="false">SUM(G15,E15,C15)</f>
        <v>0</v>
      </c>
      <c r="J15" s="221" t="e">
        <f aca="false">I15/$I$15</f>
        <v>#DIV/0!</v>
      </c>
    </row>
    <row r="16" customFormat="false" ht="15.75" hidden="false" customHeight="false" outlineLevel="0" collapsed="false">
      <c r="A16" s="230"/>
      <c r="B16" s="231" t="s">
        <v>22</v>
      </c>
      <c r="C16" s="27" t="n">
        <f aca="false">COUNTIFS([1]SurveyDATA!KX$1:KX$1048576,"Y",[1]SurveyDATA!KI$1:KI$1048576,"*RELOCATION*",[1]SurveyDATA!VX$1:VX$1048576,"*SAMPLING*",[1]SurveyDATA!E$1:E$1048576,"*GUIGUINTO*",[1]SurveyDATA!JR$1:JR$1048576,"*NEED*")</f>
        <v>0</v>
      </c>
      <c r="D16" s="224" t="e">
        <f aca="false">C16/I16</f>
        <v>#DIV/0!</v>
      </c>
      <c r="E16" s="27" t="n">
        <f aca="false">COUNTIFS([1]SurveyDATA!KX$1:KX$1048576,"No",[1]SurveyDATA!KI$1:KI$1048576,"*CASH*",[1]SurveyDATA!VX$1:VX$1048576,"*SAMPLING*",[1]SurveyDATA!E$1:E$1048576,"*GUIGUINTO*",[1]SurveyDATA!JR$1:JR$1048576,"*NEED*")</f>
        <v>0</v>
      </c>
      <c r="F16" s="224" t="e">
        <f aca="false">E16/E63</f>
        <v>#DIV/0!</v>
      </c>
      <c r="G16" s="27" t="n">
        <f aca="false">COUNTIFS([1]SurveyDATA!KX$1:KX$1048576,"",[1]SurveyDATA!KI$1:KI$1048576,"*NO*",[1]SurveyDATA!VX$1:VX$1048576,"*SAMPLING*",[1]SurveyDATA!E$1:E$1048576,"*GUIGUINTO*",[1]SurveyDATA!JR$1:JR$1048576,"*NEED*")</f>
        <v>0</v>
      </c>
      <c r="H16" s="234" t="e">
        <f aca="false">G16/G63</f>
        <v>#DIV/0!</v>
      </c>
      <c r="I16" s="27" t="n">
        <f aca="false">SUM(G16,E16,C16)</f>
        <v>0</v>
      </c>
      <c r="J16" s="224" t="e">
        <f aca="false">I16/I63</f>
        <v>#DIV/0!</v>
      </c>
    </row>
    <row r="17" customFormat="false" ht="15.75" hidden="false" customHeight="false" outlineLevel="0" collapsed="false">
      <c r="A17" s="174" t="s">
        <v>28</v>
      </c>
      <c r="B17" s="227" t="s">
        <v>29</v>
      </c>
      <c r="C17" s="25" t="n">
        <f aca="false">COUNTIFS([1]SurveyDATA!KX$1:KX$1048576,"Y",[1]SurveyDATA!KI$1:KI$1048576,"*RELOCATION*",[1]SurveyDATA!VX$1:VX$1048576,"*SAMPLING*",[1]SurveyDATA!E$1:E$1048576,"*BUROL*",[1]SurveyDATA!JR$1:JR$1048576,"*NEED*")</f>
        <v>0</v>
      </c>
      <c r="D17" s="221" t="e">
        <f aca="false">C17/B69</f>
        <v>#DIV/0!</v>
      </c>
      <c r="E17" s="25" t="n">
        <f aca="false">COUNTIFS([1]SurveyDATA!KX$1:KX$1048576,"No",[1]SurveyDATA!KI$1:KI$1048576,"*CASH*",[1]SurveyDATA!VX$1:VX$1048576,"*SAMPLING*",[1]SurveyDATA!E$1:E$1048576,"*BUROL*",[1]SurveyDATA!JR$1:JR$1048576,"*NEED*")</f>
        <v>0</v>
      </c>
      <c r="F17" s="221" t="n">
        <v>0</v>
      </c>
      <c r="G17" s="25" t="n">
        <f aca="false">COUNTIFS([1]SurveyDATA!KX$1:KX$1048576,"",[1]SurveyDATA!KI$1:KI$1048576,"*NO*",[1]SurveyDATA!VX$1:VX$1048576,"*SAMPLING*",[1]SurveyDATA!E$1:E$1048576,"*BUROL*",[1]SurveyDATA!JR$1:JR$1048576,"*NEED*")</f>
        <v>0</v>
      </c>
      <c r="H17" s="221" t="n">
        <v>0</v>
      </c>
      <c r="I17" s="25" t="n">
        <f aca="false">SUM(G17,E17,C17)</f>
        <v>0</v>
      </c>
      <c r="J17" s="221" t="n">
        <v>0</v>
      </c>
    </row>
    <row r="18" customFormat="false" ht="15.75" hidden="false" customHeight="false" outlineLevel="0" collapsed="false">
      <c r="A18" s="230"/>
      <c r="B18" s="231" t="s">
        <v>22</v>
      </c>
      <c r="C18" s="27" t="n">
        <f aca="false">COUNTIFS([1]SurveyDATA!KX$1:KX$1048576,"Y",[1]SurveyDATA!KI$1:KI$1048576,"*RELOCATION*",[1]SurveyDATA!VX$1:VX$1048576,"*SAMPLING*",[1]SurveyDATA!E$1:E$1048576,"*BALAGTAS*",[1]SurveyDATA!JR$1:JR$1048576,"*NEED*")</f>
        <v>0</v>
      </c>
      <c r="D18" s="235" t="e">
        <f aca="false">C18/C63</f>
        <v>#DIV/0!</v>
      </c>
      <c r="E18" s="27" t="n">
        <f aca="false">COUNTIFS([1]SurveyDATA!KX$1:KX$1048576,"No",[1]SurveyDATA!KI$1:KI$1048576,"*CASH*",[1]SurveyDATA!VX$1:VX$1048576,"*SAMPLING*",[1]SurveyDATA!E$1:E$1048576,"*BALAGTAS*",[1]SurveyDATA!JR$1:JR$1048576,"*NEED*")</f>
        <v>0</v>
      </c>
      <c r="F18" s="235" t="e">
        <f aca="false">E18/E63</f>
        <v>#DIV/0!</v>
      </c>
      <c r="G18" s="27" t="n">
        <f aca="false">COUNTIFS([1]SurveyDATA!KX$1:KX$1048576,"",[1]SurveyDATA!KI$1:KI$1048576,"*NO*",[1]SurveyDATA!VX$1:VX$1048576,"*SAMPLING*",[1]SurveyDATA!E$1:E$1048576,"*BALAGTAS*",[1]SurveyDATA!JR$1:JR$1048576,"*NEED*")</f>
        <v>0</v>
      </c>
      <c r="H18" s="235" t="e">
        <f aca="false">G18/G63</f>
        <v>#DIV/0!</v>
      </c>
      <c r="I18" s="27" t="n">
        <f aca="false">SUM(G18,E18,C18)</f>
        <v>0</v>
      </c>
      <c r="J18" s="235" t="e">
        <f aca="false">I18/I63</f>
        <v>#DIV/0!</v>
      </c>
    </row>
    <row r="19" customFormat="false" ht="15.75" hidden="false" customHeight="false" outlineLevel="0" collapsed="false">
      <c r="A19" s="174" t="s">
        <v>30</v>
      </c>
      <c r="B19" s="227" t="s">
        <v>31</v>
      </c>
      <c r="C19" s="25" t="n">
        <f aca="false">COUNTIFS([1]SurveyDATA!KX$1:KX$1048576,"Y",[1]SurveyDATA!KI$1:KI$1048576,"*RELOCATION*",[1]SurveyDATA!VX$1:VX$1048576,"*SAMPLING*",[1]SurveyDATA!E$1:E$1048576,"*TAAL*",[1]SurveyDATA!JR$1:JR$1048576,"*NEED*")</f>
        <v>0</v>
      </c>
      <c r="D19" s="221" t="e">
        <f aca="false">C19/C$21</f>
        <v>#DIV/0!</v>
      </c>
      <c r="E19" s="112" t="n">
        <f aca="false">COUNTIFS([1]SurveyDATA!KX$1:KX$1048576,"No",[1]SurveyDATA!KI$1:KI$1048576,"*CASH*",[1]SurveyDATA!VX$1:VX$1048576,"*SAMPLING*",[1]SurveyDATA!E$1:E$1048576,"*TAAL*",[1]SurveyDATA!JR$1:JR$1048576,"*NEED*")</f>
        <v>0</v>
      </c>
      <c r="F19" s="228" t="n">
        <v>0</v>
      </c>
      <c r="G19" s="236" t="n">
        <f aca="false">COUNTIFS([1]SurveyDATA!KX$1:KX$1048576,"",[1]SurveyDATA!KI$1:KI$1048576,"*NO*",[1]SurveyDATA!VX$1:VX$1048576,"*SAMPLING*",[1]SurveyDATA!E$1:E$1048576,"*TAAL*",[1]SurveyDATA!JR$1:JR$1048576,"*NEED*")</f>
        <v>0</v>
      </c>
      <c r="H19" s="228" t="n">
        <v>0</v>
      </c>
      <c r="I19" s="111" t="n">
        <f aca="false">SUM(G19,E19,C19)</f>
        <v>0</v>
      </c>
      <c r="J19" s="221" t="e">
        <f aca="false">I19/$I$21</f>
        <v>#DIV/0!</v>
      </c>
    </row>
    <row r="20" customFormat="false" ht="15.75" hidden="false" customHeight="false" outlineLevel="0" collapsed="false">
      <c r="A20" s="174"/>
      <c r="B20" s="227" t="s">
        <v>32</v>
      </c>
      <c r="C20" s="25" t="n">
        <f aca="false">COUNTIFS([1]SurveyDATA!KX$1:KX$1048576,"Y",[1]SurveyDATA!KI$1:KI$1048576,"*RELOCATION*",[1]SurveyDATA!VX$1:VX$1048576,"*SAMPLING*",[1]SurveyDATA!E$1:E$1048576,"*IGULOT*",[1]SurveyDATA!JR$1:JR$1048576,"*NEED*")</f>
        <v>0</v>
      </c>
      <c r="D20" s="221" t="e">
        <f aca="false">C20/C$21</f>
        <v>#DIV/0!</v>
      </c>
      <c r="E20" s="112" t="n">
        <f aca="false">COUNTIFS([1]SurveyDATA!KX$1:KX$1048576,"No",[1]SurveyDATA!KI$1:KI$1048576,"*CASH*",[1]SurveyDATA!VX$1:VX$1048576,"*SAMPLING*",[1]SurveyDATA!E$1:E$1048576,"*IGULOT*",[1]SurveyDATA!JR$1:JR$1048576,"*NEED*")</f>
        <v>0</v>
      </c>
      <c r="F20" s="228" t="n">
        <v>0</v>
      </c>
      <c r="G20" s="236" t="n">
        <f aca="false">COUNTIFS([1]SurveyDATA!KX$1:KX$1048576,"",[1]SurveyDATA!KI$1:KI$1048576,"*NO*",[1]SurveyDATA!VX$1:VX$1048576,"*SAMPLING*",[1]SurveyDATA!E$1:E$1048576,"*IGULOT*",[1]SurveyDATA!JR$1:JR$1048576,"*NEED*")</f>
        <v>0</v>
      </c>
      <c r="H20" s="228" t="n">
        <v>0</v>
      </c>
      <c r="I20" s="111" t="n">
        <f aca="false">SUM(G20,E20,C20)</f>
        <v>0</v>
      </c>
      <c r="J20" s="221" t="e">
        <f aca="false">I20/$I$21</f>
        <v>#DIV/0!</v>
      </c>
    </row>
    <row r="21" customFormat="false" ht="15.75" hidden="false" customHeight="false" outlineLevel="0" collapsed="false">
      <c r="A21" s="174"/>
      <c r="B21" s="227" t="s">
        <v>33</v>
      </c>
      <c r="C21" s="25" t="n">
        <f aca="false">COUNTIFS([1]SurveyDATA!KX$1:KX$1048576,"Y",[1]SurveyDATA!KI$1:KI$1048576,"*RELOCATION*",[1]SurveyDATA!VX$1:VX$1048576,"*SAMPLING*",[1]SurveyDATA!E$1:E$1048576,"*BUNDUKAN*",[1]SurveyDATA!JR$1:JR$1048576,"*NEED*")</f>
        <v>0</v>
      </c>
      <c r="D21" s="221" t="e">
        <f aca="false">C21/C$21</f>
        <v>#DIV/0!</v>
      </c>
      <c r="E21" s="112" t="n">
        <f aca="false">COUNTIFS([1]SurveyDATA!KX$1:KX$1048576,"No",[1]SurveyDATA!KI$1:KI$1048576,"*CASH*",[1]SurveyDATA!VX$1:VX$1048576,"*SAMPLING*",[1]SurveyDATA!E$1:E$1048576,"*BUNDUKAN*",[1]SurveyDATA!JR$1:JR$1048576,"*NEED*")</f>
        <v>0</v>
      </c>
      <c r="F21" s="228" t="n">
        <v>0</v>
      </c>
      <c r="G21" s="236" t="n">
        <f aca="false">COUNTIFS([1]SurveyDATA!KX$1:KX$1048576,"",[1]SurveyDATA!KI$1:KI$1048576,"*NO*",[1]SurveyDATA!VX$1:VX$1048576,"*SAMPLING*",[1]SurveyDATA!E$1:E$1048576,"*BUNDUKAN*",[1]SurveyDATA!JR$1:JR$1048576,"*NEED*")</f>
        <v>0</v>
      </c>
      <c r="H21" s="228" t="n">
        <v>0</v>
      </c>
      <c r="I21" s="111" t="n">
        <f aca="false">SUM(G21,E21,C21)</f>
        <v>0</v>
      </c>
      <c r="J21" s="221" t="e">
        <f aca="false">I21/$I$21</f>
        <v>#DIV/0!</v>
      </c>
    </row>
    <row r="22" customFormat="false" ht="15.75" hidden="false" customHeight="false" outlineLevel="0" collapsed="false">
      <c r="A22" s="230"/>
      <c r="B22" s="231" t="s">
        <v>22</v>
      </c>
      <c r="C22" s="27" t="n">
        <f aca="false">COUNTIFS([1]SurveyDATA!KX$1:KX$1048576,"Y",[1]SurveyDATA!KI$1:KI$1048576,"*RELOCATION*",[1]SurveyDATA!VX$1:VX$1048576,"*SAMPLING*",[1]SurveyDATA!E$1:E$1048576,"*BOCAUE*",[1]SurveyDATA!JR$1:JR$1048576,"*NEED*")</f>
        <v>0</v>
      </c>
      <c r="D22" s="224" t="e">
        <f aca="false">C22/I22</f>
        <v>#DIV/0!</v>
      </c>
      <c r="E22" s="27" t="n">
        <f aca="false">COUNTIFS([1]SurveyDATA!KX$1:KX$1048576,"No",[1]SurveyDATA!KI$1:KI$1048576,"*CASH*",[1]SurveyDATA!VX$1:VX$1048576,"*SAMPLING*",[1]SurveyDATA!E$1:E$1048576,"*BOCAUE*",[1]SurveyDATA!JR$1:JR$1048576,"*NEED*")</f>
        <v>0</v>
      </c>
      <c r="F22" s="234" t="e">
        <f aca="false">E22/E63</f>
        <v>#DIV/0!</v>
      </c>
      <c r="G22" s="27" t="n">
        <f aca="false">COUNTIFS([1]SurveyDATA!KX$1:KX$1048576,"",[1]SurveyDATA!KI$1:KI$1048576,"*NO*",[1]SurveyDATA!VX$1:VX$1048576,"*SAMPLING*",[1]SurveyDATA!E$1:E$1048576,"*BOCAUE*",[1]SurveyDATA!JR$1:JR$1048576,"*NEED*")</f>
        <v>0</v>
      </c>
      <c r="H22" s="234" t="e">
        <f aca="false">G22/G63</f>
        <v>#DIV/0!</v>
      </c>
      <c r="I22" s="27" t="n">
        <f aca="false">SUM(G22,E22,C22)</f>
        <v>0</v>
      </c>
      <c r="J22" s="224" t="e">
        <f aca="false">I22/I63</f>
        <v>#DIV/0!</v>
      </c>
    </row>
    <row r="23" customFormat="false" ht="15.75" hidden="false" customHeight="false" outlineLevel="0" collapsed="false">
      <c r="A23" s="174" t="s">
        <v>34</v>
      </c>
      <c r="B23" s="227" t="s">
        <v>35</v>
      </c>
      <c r="C23" s="25" t="n">
        <f aca="false">COUNTIFS([1]SurveyDATA!KX$1:KX$1048576,"Y",[1]SurveyDATA!KI$1:KI$1048576,"*RELOCATION*",[1]SurveyDATA!VX$1:VX$1048576,"*SAMPLING*",[1]SurveyDATA!E$1:E$1048576,"*NORTE*",[1]SurveyDATA!JR$1:JR$1048576,"*NEED*")</f>
        <v>0</v>
      </c>
      <c r="D23" s="221" t="e">
        <f aca="false">C23/B76</f>
        <v>#DIV/0!</v>
      </c>
      <c r="E23" s="25" t="n">
        <f aca="false">COUNTIFS([1]SurveyDATA!KX$1:KX$1048576,"No",[1]SurveyDATA!KI$1:KI$1048576,"*CASH*",[1]SurveyDATA!VX$1:VX$1048576,"*SAMPLING*",[1]SurveyDATA!E$1:E$1048576,"*NORTE*",[1]SurveyDATA!JR$1:JR$1048576,"*NEED*")</f>
        <v>0</v>
      </c>
      <c r="F23" s="221" t="e">
        <f aca="false">E23/D76</f>
        <v>#DIV/0!</v>
      </c>
      <c r="G23" s="25" t="n">
        <f aca="false">COUNTIFS([1]SurveyDATA!KX$1:KX$1048576,"",[1]SurveyDATA!KI$1:KI$1048576,"*NO*",[1]SurveyDATA!VX$1:VX$1048576,"*SAMPLING*",[1]SurveyDATA!E$1:E$1048576,"*NORTE*",[1]SurveyDATA!JR$1:JR$1048576,"*NEED*")</f>
        <v>0</v>
      </c>
      <c r="H23" s="221" t="e">
        <f aca="false">G23/F76</f>
        <v>#DIV/0!</v>
      </c>
      <c r="I23" s="25" t="n">
        <f aca="false">SUM(G23,E23,C23)</f>
        <v>0</v>
      </c>
      <c r="J23" s="221" t="e">
        <f aca="false">I23/$I$25</f>
        <v>#DIV/0!</v>
      </c>
    </row>
    <row r="24" customFormat="false" ht="15.75" hidden="false" customHeight="false" outlineLevel="0" collapsed="false">
      <c r="A24" s="174"/>
      <c r="B24" s="227" t="s">
        <v>36</v>
      </c>
      <c r="C24" s="25" t="n">
        <f aca="false">COUNTIFS([1]SurveyDATA!KX$1:KX$1048576,"Y",[1]SurveyDATA!KI$1:KI$1048576,"*RELOCATION*",[1]SurveyDATA!VX$1:VX$1048576,"*SAMPLING*",[1]SurveyDATA!E$1:E$1048576,"*SAOG*",[1]SurveyDATA!JR$1:JR$1048576,"*NEED*")</f>
        <v>0</v>
      </c>
      <c r="D24" s="221" t="e">
        <f aca="false">C24/B77</f>
        <v>#DIV/0!</v>
      </c>
      <c r="E24" s="25" t="n">
        <f aca="false">COUNTIFS([1]SurveyDATA!KX$1:KX$1048576,"No",[1]SurveyDATA!KI$1:KI$1048576,"*CASH*",[1]SurveyDATA!VX$1:VX$1048576,"*SAMPLING*",[1]SurveyDATA!E$1:E$1048576,"*SAOG*",[1]SurveyDATA!JR$1:JR$1048576,"*NEED*")</f>
        <v>0</v>
      </c>
      <c r="F24" s="221" t="e">
        <f aca="false">E24/D77</f>
        <v>#DIV/0!</v>
      </c>
      <c r="G24" s="25" t="n">
        <f aca="false">COUNTIFS([1]SurveyDATA!KX$1:KX$1048576,"",[1]SurveyDATA!KI$1:KI$1048576,"*NO*",[1]SurveyDATA!VX$1:VX$1048576,"*SAMPLING*",[1]SurveyDATA!E$1:E$1048576,"*SAOG*",[1]SurveyDATA!JR$1:JR$1048576,"*NEED*")</f>
        <v>0</v>
      </c>
      <c r="H24" s="221" t="e">
        <f aca="false">G24/F77</f>
        <v>#DIV/0!</v>
      </c>
      <c r="I24" s="25" t="n">
        <f aca="false">SUM(G24,E24,C24)</f>
        <v>0</v>
      </c>
      <c r="J24" s="221" t="e">
        <f aca="false">I24/$I$25</f>
        <v>#DIV/0!</v>
      </c>
    </row>
    <row r="25" customFormat="false" ht="15.75" hidden="false" customHeight="false" outlineLevel="0" collapsed="false">
      <c r="A25" s="174"/>
      <c r="B25" s="227" t="s">
        <v>37</v>
      </c>
      <c r="C25" s="25" t="n">
        <f aca="false">COUNTIFS([1]SurveyDATA!KX$1:KX$1048576,"Y",[1]SurveyDATA!KI$1:KI$1048576,"*RELOCATION*",[1]SurveyDATA!VX$1:VX$1048576,"*SAMPLING*",[1]SurveyDATA!E$1:E$1048576,"*IBAYO*",[1]SurveyDATA!JR$1:JR$1048576,"*NEED*")</f>
        <v>0</v>
      </c>
      <c r="D25" s="221" t="e">
        <f aca="false">C25/B78</f>
        <v>#DIV/0!</v>
      </c>
      <c r="E25" s="25" t="n">
        <f aca="false">COUNTIFS([1]SurveyDATA!KX$1:KX$1048576,"No",[1]SurveyDATA!KI$1:KI$1048576,"*CASH*",[1]SurveyDATA!VX$1:VX$1048576,"*SAMPLING*",[1]SurveyDATA!E$1:E$1048576,"*IBAYO*",[1]SurveyDATA!JR$1:JR$1048576,"*NEED*")</f>
        <v>0</v>
      </c>
      <c r="F25" s="221" t="e">
        <f aca="false">E25/D78</f>
        <v>#DIV/0!</v>
      </c>
      <c r="G25" s="25" t="n">
        <f aca="false">COUNTIFS([1]SurveyDATA!KX$1:KX$1048576,"",[1]SurveyDATA!KI$1:KI$1048576,"*NO*",[1]SurveyDATA!VX$1:VX$1048576,"*SAMPLING*",[1]SurveyDATA!E$1:E$1048576,"*IBAYO*",[1]SurveyDATA!JR$1:JR$1048576,"*NEED*")</f>
        <v>0</v>
      </c>
      <c r="H25" s="221" t="e">
        <f aca="false">G25/F78</f>
        <v>#DIV/0!</v>
      </c>
      <c r="I25" s="25" t="n">
        <f aca="false">SUM(G25,E25,C25)</f>
        <v>0</v>
      </c>
      <c r="J25" s="221" t="e">
        <f aca="false">I25/$I$25</f>
        <v>#DIV/0!</v>
      </c>
    </row>
    <row r="26" customFormat="false" ht="15.75" hidden="false" customHeight="false" outlineLevel="0" collapsed="false">
      <c r="A26" s="230"/>
      <c r="B26" s="231" t="s">
        <v>22</v>
      </c>
      <c r="C26" s="27" t="n">
        <f aca="false">COUNTIFS([1]SurveyDATA!KX$1:KX$1048576,"Y",[1]SurveyDATA!KI$1:KI$1048576,"*RELOCATION*",[1]SurveyDATA!VX$1:VX$1048576,"*SAMPLING*",[1]SurveyDATA!E$1:E$1048576,"*MARILAO*",[1]SurveyDATA!JR$1:JR$1048576,"*NEED*")</f>
        <v>0</v>
      </c>
      <c r="D26" s="224" t="e">
        <f aca="false">C26/I26</f>
        <v>#DIV/0!</v>
      </c>
      <c r="E26" s="27" t="n">
        <f aca="false">COUNTIFS([1]SurveyDATA!KX$1:KX$1048576,"No",[1]SurveyDATA!KI$1:KI$1048576,"*CASH*",[1]SurveyDATA!VX$1:VX$1048576,"*SAMPLING*",[1]SurveyDATA!E$1:E$1048576,"*MARILAO*",[1]SurveyDATA!JR$1:JR$1048576,"*NEED*")</f>
        <v>0</v>
      </c>
      <c r="F26" s="224" t="e">
        <f aca="false">E26/E63</f>
        <v>#DIV/0!</v>
      </c>
      <c r="G26" s="27" t="n">
        <f aca="false">COUNTIFS([1]SurveyDATA!KX$1:KX$1048576,"",[1]SurveyDATA!KI$1:KI$1048576,"*NO*",[1]SurveyDATA!VX$1:VX$1048576,"*SAMPLING*",[1]SurveyDATA!E$1:E$1048576,"*MARILAO*",[1]SurveyDATA!JR$1:JR$1048576,"*NEED*")</f>
        <v>0</v>
      </c>
      <c r="H26" s="224" t="e">
        <f aca="false">G26/G63</f>
        <v>#DIV/0!</v>
      </c>
      <c r="I26" s="27" t="n">
        <f aca="false">SUM(G26,E26,C26)</f>
        <v>0</v>
      </c>
      <c r="J26" s="224" t="e">
        <f aca="false">I26/I63</f>
        <v>#DIV/0!</v>
      </c>
    </row>
    <row r="27" customFormat="false" ht="15.75" hidden="false" customHeight="false" outlineLevel="0" collapsed="false">
      <c r="A27" s="174" t="s">
        <v>38</v>
      </c>
      <c r="B27" s="227" t="s">
        <v>39</v>
      </c>
      <c r="C27" s="112" t="n">
        <f aca="false">COUNTIFS([1]SurveyDATA!KX$1:KX$1048576,"Y",[1]SurveyDATA!KI$1:KI$1048576,"*RELOCATION*",[1]SurveyDATA!VX$1:VX$1048576,"*SAMPLING*",[1]SurveyDATA!E$1:E$1048576,"*PANDAYAN*",[1]SurveyDATA!JR$1:JR$1048576,"*NEED*")</f>
        <v>0</v>
      </c>
      <c r="D27" s="228" t="n">
        <v>0</v>
      </c>
      <c r="E27" s="111" t="n">
        <f aca="false">COUNTIFS([1]SurveyDATA!KX$1:KX$1048576,"No",[1]SurveyDATA!KI$1:KI$1048576,"*CASH*",[1]SurveyDATA!VX$1:VX$1048576,"*SAMPLING*",[1]SurveyDATA!E$1:E$1048576,"*PANDAYAN*",[1]SurveyDATA!JR$1:JR$1048576,"*NEED*")</f>
        <v>0</v>
      </c>
      <c r="F27" s="221" t="e">
        <f aca="false">E27/E$30</f>
        <v>#DIV/0!</v>
      </c>
      <c r="G27" s="25" t="n">
        <f aca="false">COUNTIFS([1]SurveyDATA!KX$1:KX$1048576,"",[1]SurveyDATA!KI$1:KI$1048576,"*NO*",[1]SurveyDATA!VX$1:VX$1048576,"*SAMPLING*",[1]SurveyDATA!E$1:E$1048576,"*PANDAYAN*",[1]SurveyDATA!JR$1:JR$1048576,"*NEED*")</f>
        <v>0</v>
      </c>
      <c r="H27" s="221" t="e">
        <f aca="false">G27/G$30</f>
        <v>#DIV/0!</v>
      </c>
      <c r="I27" s="25" t="n">
        <f aca="false">SUM(G27,E27,C27)</f>
        <v>0</v>
      </c>
      <c r="J27" s="221" t="e">
        <f aca="false">I27/$I$30</f>
        <v>#DIV/0!</v>
      </c>
    </row>
    <row r="28" customFormat="false" ht="15.75" hidden="false" customHeight="false" outlineLevel="0" collapsed="false">
      <c r="A28" s="174"/>
      <c r="B28" s="227" t="s">
        <v>40</v>
      </c>
      <c r="C28" s="112" t="n">
        <f aca="false">COUNTIFS([1]SurveyDATA!KX$1:KX$1048576,"Y",[1]SurveyDATA!KI$1:KI$1048576,"*RELOCATION*",[1]SurveyDATA!VX$1:VX$1048576,"*SAMPLING*",[1]SurveyDATA!E$1:E$1048576,"*TUGATOG*",[1]SurveyDATA!JR$1:JR$1048576,"*NEED*")</f>
        <v>0</v>
      </c>
      <c r="D28" s="228" t="n">
        <v>0</v>
      </c>
      <c r="E28" s="111" t="n">
        <f aca="false">COUNTIFS([1]SurveyDATA!KX$1:KX$1048576,"No",[1]SurveyDATA!KI$1:KI$1048576,"*CASH*",[1]SurveyDATA!VX$1:VX$1048576,"*SAMPLING*",[1]SurveyDATA!E$1:E$1048576,"*TUGATOG*",[1]SurveyDATA!JR$1:JR$1048576,"*NEED*")</f>
        <v>0</v>
      </c>
      <c r="F28" s="221" t="e">
        <f aca="false">E28/E$30</f>
        <v>#DIV/0!</v>
      </c>
      <c r="G28" s="25" t="n">
        <f aca="false">COUNTIFS([1]SurveyDATA!KX$1:KX$1048576,"",[1]SurveyDATA!KI$1:KI$1048576,"*NO*",[1]SurveyDATA!VX$1:VX$1048576,"*SAMPLING*",[1]SurveyDATA!E$1:E$1048576,"*TUGATOG*",[1]SurveyDATA!JR$1:JR$1048576,"*NEED*")</f>
        <v>0</v>
      </c>
      <c r="H28" s="221" t="e">
        <f aca="false">G28/G$30</f>
        <v>#DIV/0!</v>
      </c>
      <c r="I28" s="25" t="n">
        <f aca="false">SUM(G28,E28,C28)</f>
        <v>0</v>
      </c>
      <c r="J28" s="221" t="e">
        <f aca="false">I28/$I$30</f>
        <v>#DIV/0!</v>
      </c>
    </row>
    <row r="29" customFormat="false" ht="15.75" hidden="false" customHeight="false" outlineLevel="0" collapsed="false">
      <c r="A29" s="174"/>
      <c r="B29" s="227" t="s">
        <v>41</v>
      </c>
      <c r="C29" s="112" t="n">
        <f aca="false">COUNTIFS([1]SurveyDATA!KX$1:KX$1048576,"Y",[1]SurveyDATA!KI$1:KI$1048576,"*RELOCATION*",[1]SurveyDATA!VX$1:VX$1048576,"*SAMPLING*",[1]SurveyDATA!E$1:E$1048576,"*BANCAL*",[1]SurveyDATA!JR$1:JR$1048576,"*NEED*")</f>
        <v>0</v>
      </c>
      <c r="D29" s="228" t="n">
        <v>0</v>
      </c>
      <c r="E29" s="111" t="n">
        <f aca="false">COUNTIFS([1]SurveyDATA!KX$1:KX$1048576,"No",[1]SurveyDATA!KI$1:KI$1048576,"*CASH*",[1]SurveyDATA!VX$1:VX$1048576,"*SAMPLING*",[1]SurveyDATA!E$1:E$1048576,"*BANCAL*",[1]SurveyDATA!JR$1:JR$1048576,"*NEED*")</f>
        <v>0</v>
      </c>
      <c r="F29" s="221" t="e">
        <f aca="false">E29/E$30</f>
        <v>#DIV/0!</v>
      </c>
      <c r="G29" s="25" t="n">
        <f aca="false">COUNTIFS([1]SurveyDATA!KX$1:KX$1048576,"",[1]SurveyDATA!KI$1:KI$1048576,"*NO*",[1]SurveyDATA!VX$1:VX$1048576,"*SAMPLING*",[1]SurveyDATA!E$1:E$1048576,"*BANCAL*",[1]SurveyDATA!JR$1:JR$1048576,"*NEED*")</f>
        <v>0</v>
      </c>
      <c r="H29" s="221" t="e">
        <f aca="false">G29/G$30</f>
        <v>#DIV/0!</v>
      </c>
      <c r="I29" s="25" t="n">
        <f aca="false">SUM(G29,E29,C29)</f>
        <v>0</v>
      </c>
      <c r="J29" s="221" t="e">
        <f aca="false">I29/$I$30</f>
        <v>#DIV/0!</v>
      </c>
    </row>
    <row r="30" customFormat="false" ht="15.75" hidden="false" customHeight="false" outlineLevel="0" collapsed="false">
      <c r="A30" s="174"/>
      <c r="B30" s="227" t="s">
        <v>42</v>
      </c>
      <c r="C30" s="112" t="n">
        <f aca="false">COUNTIFS([1]SurveyDATA!KX$1:KX$1048576,"Y",[1]SurveyDATA!KI$1:KI$1048576,"*RELOCATION*",[1]SurveyDATA!VX$1:VX$1048576,"*SAMPLING*",[1]SurveyDATA!E$1:E$1048576,"*MALHACAN*",[1]SurveyDATA!JR$1:JR$1048576,"*NEED*")</f>
        <v>0</v>
      </c>
      <c r="D30" s="228" t="n">
        <v>0</v>
      </c>
      <c r="E30" s="111" t="n">
        <f aca="false">COUNTIFS([1]SurveyDATA!KX$1:KX$1048576,"No",[1]SurveyDATA!KI$1:KI$1048576,"*CASH*",[1]SurveyDATA!VX$1:VX$1048576,"*SAMPLING*",[1]SurveyDATA!E$1:E$1048576,"*MALHACAN*",[1]SurveyDATA!JR$1:JR$1048576,"*NEED*")</f>
        <v>0</v>
      </c>
      <c r="F30" s="221" t="e">
        <f aca="false">E30/E$30</f>
        <v>#DIV/0!</v>
      </c>
      <c r="G30" s="25" t="n">
        <f aca="false">COUNTIFS([1]SurveyDATA!KX$1:KX$1048576,"",[1]SurveyDATA!KI$1:KI$1048576,"*NO*",[1]SurveyDATA!VX$1:VX$1048576,"*SAMPLING*",[1]SurveyDATA!E$1:E$1048576,"*MALHACAN*",[1]SurveyDATA!JR$1:JR$1048576,"*NEED*")</f>
        <v>0</v>
      </c>
      <c r="H30" s="221" t="e">
        <f aca="false">G30/G$30</f>
        <v>#DIV/0!</v>
      </c>
      <c r="I30" s="25" t="n">
        <f aca="false">SUM(G30,E30,C30)</f>
        <v>0</v>
      </c>
      <c r="J30" s="221" t="e">
        <f aca="false">I30/$I$30</f>
        <v>#DIV/0!</v>
      </c>
    </row>
    <row r="31" customFormat="false" ht="15.75" hidden="false" customHeight="false" outlineLevel="0" collapsed="false">
      <c r="A31" s="230"/>
      <c r="B31" s="231" t="s">
        <v>22</v>
      </c>
      <c r="C31" s="27" t="n">
        <f aca="false">COUNTIFS([1]SurveyDATA!KX$1:KX$1048576,"Y",[1]SurveyDATA!KI$1:KI$1048576,"*RELOCATION*",[1]SurveyDATA!VX$1:VX$1048576,"*SAMPLING*",[1]SurveyDATA!E$1:E$1048576,"*MEYCAUAYAN*",[1]SurveyDATA!JR$1:JR$1048576,"*NEED*")</f>
        <v>0</v>
      </c>
      <c r="D31" s="224" t="e">
        <f aca="false">C31/I31</f>
        <v>#DIV/0!</v>
      </c>
      <c r="E31" s="27" t="n">
        <f aca="false">COUNTIFS([1]SurveyDATA!KX$1:KX$1048576,"No",[1]SurveyDATA!KI$1:KI$1048576,"*CASH*",[1]SurveyDATA!VX$1:VX$1048576,"*SAMPLING*",[1]SurveyDATA!E$1:E$1048576,"*MEYCAUAYAN*",[1]SurveyDATA!JR$1:JR$1048576,"*NEED*")</f>
        <v>0</v>
      </c>
      <c r="F31" s="224" t="e">
        <f aca="false">E31/E63</f>
        <v>#DIV/0!</v>
      </c>
      <c r="G31" s="27" t="n">
        <f aca="false">COUNTIFS([1]SurveyDATA!KX$1:KX$1048576,"",[1]SurveyDATA!KI$1:KI$1048576,"*NO*",[1]SurveyDATA!VX$1:VX$1048576,"*SAMPLING*",[1]SurveyDATA!E$1:E$1048576,"*MEYCAUAYAN*",[1]SurveyDATA!JR$1:JR$1048576,"*NEED*")</f>
        <v>0</v>
      </c>
      <c r="H31" s="224" t="e">
        <f aca="false">G31/G63</f>
        <v>#DIV/0!</v>
      </c>
      <c r="I31" s="27" t="n">
        <f aca="false">SUM(G31,E31,C31)</f>
        <v>0</v>
      </c>
      <c r="J31" s="224" t="e">
        <f aca="false">I31/I63</f>
        <v>#DIV/0!</v>
      </c>
    </row>
    <row r="32" customFormat="false" ht="15.75" hidden="false" customHeight="false" outlineLevel="0" collapsed="false">
      <c r="A32" s="174" t="s">
        <v>43</v>
      </c>
      <c r="B32" s="227" t="s">
        <v>44</v>
      </c>
      <c r="C32" s="25" t="n">
        <f aca="false">COUNTIFS([1]SurveyDATA!KX$1:KX$1048576,"Y",[1]SurveyDATA!KI$1:KI$1048576,"*RELOCATION*",[1]SurveyDATA!VX$1:VX$1048576,"*SAMPLING*",[1]SurveyDATA!E$1:E$1048576,"*MALANDAY*",[1]SurveyDATA!JR$1:JR$1048576,"*NEED*")</f>
        <v>0</v>
      </c>
      <c r="D32" s="221" t="e">
        <f aca="false">C32/C$34</f>
        <v>#DIV/0!</v>
      </c>
      <c r="E32" s="25" t="n">
        <f aca="false">COUNTIFS([1]SurveyDATA!KX$1:KX$1048576,"No",[1]SurveyDATA!KI$1:KI$1048576,"*CASH*",[1]SurveyDATA!VX$1:VX$1048576,"*SAMPLING*",[1]SurveyDATA!E$1:E$1048576,"*MALANDAY*",[1]SurveyDATA!JR$1:JR$1048576,"*NEED*")</f>
        <v>0</v>
      </c>
      <c r="F32" s="221" t="e">
        <f aca="false">E32/E$34</f>
        <v>#DIV/0!</v>
      </c>
      <c r="G32" s="25" t="n">
        <f aca="false">COUNTIFS([1]SurveyDATA!KX$1:KX$1048576,"",[1]SurveyDATA!KI$1:KI$1048576,"*NO*",[1]SurveyDATA!VX$1:VX$1048576,"*SAMPLING*",[1]SurveyDATA!E$1:E$1048576,"*MALANDAY*",[1]SurveyDATA!JR$1:JR$1048576,"*NEED*")</f>
        <v>0</v>
      </c>
      <c r="H32" s="221" t="e">
        <f aca="false">G32/G$34</f>
        <v>#DIV/0!</v>
      </c>
      <c r="I32" s="25" t="n">
        <f aca="false">SUM(G32,E32,C32)</f>
        <v>0</v>
      </c>
      <c r="J32" s="221" t="e">
        <f aca="false">I32/$I$34</f>
        <v>#DIV/0!</v>
      </c>
    </row>
    <row r="33" customFormat="false" ht="15.75" hidden="false" customHeight="false" outlineLevel="0" collapsed="false">
      <c r="A33" s="174"/>
      <c r="B33" s="227" t="s">
        <v>45</v>
      </c>
      <c r="C33" s="25" t="n">
        <f aca="false">COUNTIFS([1]SurveyDATA!KX$1:KX$1048576,"Y",[1]SurveyDATA!KI$1:KI$1048576,"*RELOCATION*",[1]SurveyDATA!VX$1:VX$1048576,"*SAMPLING*",[1]SurveyDATA!E$1:E$1048576,"*DALANDANAN*",[1]SurveyDATA!JR$1:JR$1048576,"*NEED*")</f>
        <v>0</v>
      </c>
      <c r="D33" s="221" t="e">
        <f aca="false">C33/C$34</f>
        <v>#DIV/0!</v>
      </c>
      <c r="E33" s="25" t="n">
        <f aca="false">COUNTIFS([1]SurveyDATA!KX$1:KX$1048576,"No",[1]SurveyDATA!KI$1:KI$1048576,"*CASH*",[1]SurveyDATA!VX$1:VX$1048576,"*SAMPLING*",[1]SurveyDATA!E$1:E$1048576,"*DALANDANAN*",[1]SurveyDATA!JR$1:JR$1048576,"*NEED*")</f>
        <v>0</v>
      </c>
      <c r="F33" s="221" t="e">
        <f aca="false">E33/E$34</f>
        <v>#DIV/0!</v>
      </c>
      <c r="G33" s="25" t="n">
        <f aca="false">COUNTIFS([1]SurveyDATA!KX$1:KX$1048576,"",[1]SurveyDATA!KI$1:KI$1048576,"*NO*",[1]SurveyDATA!VX$1:VX$1048576,"*SAMPLING*",[1]SurveyDATA!E$1:E$1048576,"*DALANDANAN*",[1]SurveyDATA!JR$1:JR$1048576,"*NEED*")</f>
        <v>0</v>
      </c>
      <c r="H33" s="221" t="e">
        <f aca="false">G33/G$34</f>
        <v>#DIV/0!</v>
      </c>
      <c r="I33" s="25" t="n">
        <f aca="false">SUM(G33,E33,C33)</f>
        <v>0</v>
      </c>
      <c r="J33" s="221" t="e">
        <f aca="false">I33/$I$34</f>
        <v>#DIV/0!</v>
      </c>
    </row>
    <row r="34" customFormat="false" ht="15.75" hidden="false" customHeight="false" outlineLevel="0" collapsed="false">
      <c r="A34" s="174"/>
      <c r="B34" s="227" t="s">
        <v>46</v>
      </c>
      <c r="C34" s="25" t="n">
        <f aca="false">COUNTIFS([1]SurveyDATA!KX$1:KX$1048576,"Y",[1]SurveyDATA!KI$1:KI$1048576,"*RELOCATION*",[1]SurveyDATA!VX$1:VX$1048576,"*SAMPLING*",[1]SurveyDATA!E$1:E$1048576,"*MALINTA*",[1]SurveyDATA!JR$1:JR$1048576,"*NEED*")</f>
        <v>0</v>
      </c>
      <c r="D34" s="221" t="e">
        <f aca="false">C34/C$34</f>
        <v>#DIV/0!</v>
      </c>
      <c r="E34" s="25" t="n">
        <f aca="false">COUNTIFS([1]SurveyDATA!KX$1:KX$1048576,"No",[1]SurveyDATA!KI$1:KI$1048576,"*CASH*",[1]SurveyDATA!VX$1:VX$1048576,"*SAMPLING*",[1]SurveyDATA!E$1:E$1048576,"*MALINTA*",[1]SurveyDATA!JR$1:JR$1048576,"*NEED*")</f>
        <v>0</v>
      </c>
      <c r="F34" s="221" t="e">
        <f aca="false">E34/E$34</f>
        <v>#DIV/0!</v>
      </c>
      <c r="G34" s="25" t="n">
        <f aca="false">COUNTIFS([1]SurveyDATA!KX$1:KX$1048576,"",[1]SurveyDATA!KI$1:KI$1048576,"*NO*",[1]SurveyDATA!VX$1:VX$1048576,"*SAMPLING*",[1]SurveyDATA!E$1:E$1048576,"*MALINTA*",[1]SurveyDATA!JR$1:JR$1048576,"*NEED*")</f>
        <v>0</v>
      </c>
      <c r="H34" s="221" t="e">
        <f aca="false">G34/G$34</f>
        <v>#DIV/0!</v>
      </c>
      <c r="I34" s="25" t="n">
        <f aca="false">SUM(G34,E34,C34)</f>
        <v>0</v>
      </c>
      <c r="J34" s="221" t="e">
        <f aca="false">I34/$I$34</f>
        <v>#DIV/0!</v>
      </c>
    </row>
    <row r="35" customFormat="false" ht="15.75" hidden="false" customHeight="false" outlineLevel="0" collapsed="false">
      <c r="A35" s="230"/>
      <c r="B35" s="231" t="s">
        <v>22</v>
      </c>
      <c r="C35" s="27" t="n">
        <f aca="false">COUNTIFS([1]SurveyDATA!KX$1:KX$1048576,"Y",[1]SurveyDATA!KI$1:KI$1048576,"*RELOCATION*",[1]SurveyDATA!VX$1:VX$1048576,"*SAMPLING*",[1]SurveyDATA!E$1:E$1048576,"*VALENZUELA*",[1]SurveyDATA!JR$1:JR$1048576,"*NEED*")</f>
        <v>0</v>
      </c>
      <c r="D35" s="224" t="e">
        <f aca="false">C35/I35</f>
        <v>#DIV/0!</v>
      </c>
      <c r="E35" s="27" t="n">
        <f aca="false">COUNTIFS([1]SurveyDATA!KX$1:KX$1048576,"No",[1]SurveyDATA!KI$1:KI$1048576,"*CASH*",[1]SurveyDATA!VX$1:VX$1048576,"*SAMPLING*",[1]SurveyDATA!E$1:E$1048576,"*VALENZUELA*",[1]SurveyDATA!JR$1:JR$1048576,"*NEED*")</f>
        <v>0</v>
      </c>
      <c r="F35" s="224" t="e">
        <f aca="false">E35/E63</f>
        <v>#DIV/0!</v>
      </c>
      <c r="G35" s="27" t="n">
        <f aca="false">COUNTIFS([1]SurveyDATA!KX$1:KX$1048576,"",[1]SurveyDATA!KI$1:KI$1048576,"*NO*",[1]SurveyDATA!VX$1:VX$1048576,"*SAMPLING*",[1]SurveyDATA!E$1:E$1048576,"*VALENZUELA*",[1]SurveyDATA!JR$1:JR$1048576,"*NEED*")</f>
        <v>0</v>
      </c>
      <c r="H35" s="224" t="e">
        <f aca="false">G35/G63</f>
        <v>#DIV/0!</v>
      </c>
      <c r="I35" s="27" t="n">
        <f aca="false">SUM(G35,E35,C35)</f>
        <v>0</v>
      </c>
      <c r="J35" s="224" t="e">
        <f aca="false">I35/I63</f>
        <v>#DIV/0!</v>
      </c>
    </row>
    <row r="36" customFormat="false" ht="15.75" hidden="false" customHeight="false" outlineLevel="0" collapsed="false">
      <c r="A36" s="174" t="s">
        <v>47</v>
      </c>
      <c r="B36" s="227" t="s">
        <v>91</v>
      </c>
      <c r="C36" s="25" t="n">
        <f aca="false">COUNTIFS([1]SurveyDATA!KX$1:KX$1048576,"Y",[1]SurveyDATA!KI$1:KI$1048576,"*RELOCATION*",[1]SurveyDATA!VX$1:VX$1048576,"*SAMPLING*",[1]SurveyDATA!E$1:E$1048576,"*BRGY.09*",[1]SurveyDATA!JR$1:JR$1048576,"*NEED*")</f>
        <v>0</v>
      </c>
      <c r="D36" s="221" t="e">
        <f aca="false">C36/C$44</f>
        <v>#DIV/0!</v>
      </c>
      <c r="E36" s="25" t="n">
        <f aca="false">COUNTIFS([1]SurveyDATA!KX$1:KX$1048576,"No",[1]SurveyDATA!KI$1:KI$1048576,"*CASH*",[1]SurveyDATA!VX$1:VX$1048576,"*SAMPLING*",[1]SurveyDATA!E$1:E$1048576,"*BRGY.09*",[1]SurveyDATA!JR$1:JR$1048576,"*NEED*")</f>
        <v>0</v>
      </c>
      <c r="F36" s="221" t="e">
        <f aca="false">E36/E$44</f>
        <v>#DIV/0!</v>
      </c>
      <c r="G36" s="25" t="n">
        <f aca="false">COUNTIFS([1]SurveyDATA!KX$1:KX$1048576,"",[1]SurveyDATA!KI$1:KI$1048576,"*NO*",[1]SurveyDATA!VX$1:VX$1048576,"*SAMPLING*",[1]SurveyDATA!E$1:E$1048576,"*BRGY.09*",[1]SurveyDATA!JR$1:JR$1048576,"*NEED*")</f>
        <v>0</v>
      </c>
      <c r="H36" s="221" t="e">
        <f aca="false">G36/G$44</f>
        <v>#DIV/0!</v>
      </c>
      <c r="I36" s="25" t="n">
        <f aca="false">SUM(G36,E36,C36)</f>
        <v>0</v>
      </c>
      <c r="J36" s="221" t="e">
        <f aca="false">I36/$I$44</f>
        <v>#DIV/0!</v>
      </c>
    </row>
    <row r="37" customFormat="false" ht="15.75" hidden="false" customHeight="false" outlineLevel="0" collapsed="false">
      <c r="A37" s="174"/>
      <c r="B37" s="227" t="s">
        <v>92</v>
      </c>
      <c r="C37" s="25" t="n">
        <f aca="false">COUNTIFS([1]SurveyDATA!KX$1:KX$1048576,"Y",[1]SurveyDATA!KI$1:KI$1048576,"*RELOCATION*",[1]SurveyDATA!VX$1:VX$1048576,"*SAMPLING*",[1]SurveyDATA!E$1:E$1048576,"*BRGY.15 CAL*",[1]SurveyDATA!JR$1:JR$1048576,"*NEED*")</f>
        <v>0</v>
      </c>
      <c r="D37" s="221" t="e">
        <f aca="false">C37/C$44</f>
        <v>#DIV/0!</v>
      </c>
      <c r="E37" s="25" t="n">
        <f aca="false">COUNTIFS([1]SurveyDATA!KX$1:KX$1048576,"No",[1]SurveyDATA!KI$1:KI$1048576,"*CASH*",[1]SurveyDATA!VX$1:VX$1048576,"*SAMPLING*",[1]SurveyDATA!E$1:E$1048576,"*BRGY.15 CAL*",[1]SurveyDATA!JR$1:JR$1048576,"*NEED*")</f>
        <v>0</v>
      </c>
      <c r="F37" s="221" t="e">
        <f aca="false">E37/E$44</f>
        <v>#DIV/0!</v>
      </c>
      <c r="G37" s="25" t="n">
        <f aca="false">COUNTIFS([1]SurveyDATA!KX$1:KX$1048576,"",[1]SurveyDATA!KI$1:KI$1048576,"*NO*",[1]SurveyDATA!VX$1:VX$1048576,"*SAMPLING*",[1]SurveyDATA!E$1:E$1048576,"*BRGY.15 CAL*",[1]SurveyDATA!JR$1:JR$1048576,"*NEED*")</f>
        <v>0</v>
      </c>
      <c r="H37" s="221" t="e">
        <f aca="false">G37/G$44</f>
        <v>#DIV/0!</v>
      </c>
      <c r="I37" s="25" t="n">
        <f aca="false">SUM(G37,E37,C37)</f>
        <v>0</v>
      </c>
      <c r="J37" s="221" t="e">
        <f aca="false">I37/$I$44</f>
        <v>#DIV/0!</v>
      </c>
    </row>
    <row r="38" customFormat="false" ht="15.75" hidden="false" customHeight="false" outlineLevel="0" collapsed="false">
      <c r="A38" s="174"/>
      <c r="B38" s="227" t="s">
        <v>93</v>
      </c>
      <c r="C38" s="25" t="n">
        <f aca="false">COUNTIFS([1]SurveyDATA!KX$1:KX$1048576,"Y",[1]SurveyDATA!KI$1:KI$1048576,"*RELOCATION*",[1]SurveyDATA!VX$1:VX$1048576,"*SAMPLING*",[1]SurveyDATA!E$1:E$1048576,"*BRGY.17*",[1]SurveyDATA!JR$1:JR$1048576,"*NEED*")</f>
        <v>0</v>
      </c>
      <c r="D38" s="221" t="e">
        <f aca="false">C38/C$44</f>
        <v>#DIV/0!</v>
      </c>
      <c r="E38" s="25" t="n">
        <f aca="false">COUNTIFS([1]SurveyDATA!KX$1:KX$1048576,"No",[1]SurveyDATA!KI$1:KI$1048576,"*CASH*",[1]SurveyDATA!VX$1:VX$1048576,"*SAMPLING*",[1]SurveyDATA!E$1:E$1048576,"*BRGY.17*",[1]SurveyDATA!JR$1:JR$1048576,"*NEED*")</f>
        <v>0</v>
      </c>
      <c r="F38" s="221" t="e">
        <f aca="false">E38/E$44</f>
        <v>#DIV/0!</v>
      </c>
      <c r="G38" s="25" t="n">
        <f aca="false">COUNTIFS([1]SurveyDATA!KX$1:KX$1048576,"",[1]SurveyDATA!KI$1:KI$1048576,"*NO*",[1]SurveyDATA!VX$1:VX$1048576,"*SAMPLING*",[1]SurveyDATA!E$1:E$1048576,"*BRGY.17*",[1]SurveyDATA!JR$1:JR$1048576,"*NEED*")</f>
        <v>0</v>
      </c>
      <c r="H38" s="221" t="e">
        <f aca="false">G38/G$44</f>
        <v>#DIV/0!</v>
      </c>
      <c r="I38" s="25" t="n">
        <f aca="false">SUM(G38,E38,C38)</f>
        <v>0</v>
      </c>
      <c r="J38" s="221" t="e">
        <f aca="false">I38/$I$44</f>
        <v>#DIV/0!</v>
      </c>
    </row>
    <row r="39" customFormat="false" ht="15.75" hidden="false" customHeight="false" outlineLevel="0" collapsed="false">
      <c r="A39" s="174"/>
      <c r="B39" s="227" t="s">
        <v>94</v>
      </c>
      <c r="C39" s="25" t="n">
        <f aca="false">COUNTIFS([1]SurveyDATA!KX$1:KX$1048576,"Y",[1]SurveyDATA!KI$1:KI$1048576,"*RELOCATION*",[1]SurveyDATA!VX$1:VX$1048576,"*SAMPLING*",[1]SurveyDATA!E$1:E$1048576,"*BRGY.19 CAL*",[1]SurveyDATA!JR$1:JR$1048576,"*NEED*")</f>
        <v>0</v>
      </c>
      <c r="D39" s="221" t="e">
        <f aca="false">C39/C$44</f>
        <v>#DIV/0!</v>
      </c>
      <c r="E39" s="25" t="n">
        <f aca="false">COUNTIFS([1]SurveyDATA!KX$1:KX$1048576,"No",[1]SurveyDATA!KI$1:KI$1048576,"*CASH*",[1]SurveyDATA!VX$1:VX$1048576,"*SAMPLING*",[1]SurveyDATA!E$1:E$1048576,"*BRGY.19 CAL*",[1]SurveyDATA!JR$1:JR$1048576,"*NEED*")</f>
        <v>0</v>
      </c>
      <c r="F39" s="221" t="e">
        <f aca="false">E39/E$44</f>
        <v>#DIV/0!</v>
      </c>
      <c r="G39" s="25" t="n">
        <f aca="false">COUNTIFS([1]SurveyDATA!KX$1:KX$1048576,"",[1]SurveyDATA!KI$1:KI$1048576,"*NO*",[1]SurveyDATA!VX$1:VX$1048576,"*SAMPLING*",[1]SurveyDATA!E$1:E$1048576,"*BRGY.19 CAL*",[1]SurveyDATA!JR$1:JR$1048576,"*NEED*")</f>
        <v>0</v>
      </c>
      <c r="H39" s="221" t="e">
        <f aca="false">G39/G$44</f>
        <v>#DIV/0!</v>
      </c>
      <c r="I39" s="25" t="n">
        <f aca="false">SUM(G39,E39,C39)</f>
        <v>0</v>
      </c>
      <c r="J39" s="221" t="e">
        <f aca="false">I39/$I$44</f>
        <v>#DIV/0!</v>
      </c>
    </row>
    <row r="40" customFormat="false" ht="15.75" hidden="false" customHeight="false" outlineLevel="0" collapsed="false">
      <c r="A40" s="174"/>
      <c r="B40" s="227" t="s">
        <v>95</v>
      </c>
      <c r="C40" s="25" t="n">
        <f aca="false">COUNTIFS([1]SurveyDATA!KX$1:KX$1048576,"Y",[1]SurveyDATA!KI$1:KI$1048576,"*RELOCATION*",[1]SurveyDATA!VX$1:VX$1048576,"*SAMPLING*",[1]SurveyDATA!E$1:E$1048576,"*BRGY.21*",[1]SurveyDATA!JR$1:JR$1048576,"*NEED*")</f>
        <v>0</v>
      </c>
      <c r="D40" s="221" t="e">
        <f aca="false">C40/C$44</f>
        <v>#DIV/0!</v>
      </c>
      <c r="E40" s="25" t="n">
        <f aca="false">COUNTIFS([1]SurveyDATA!KX$1:KX$1048576,"No",[1]SurveyDATA!KI$1:KI$1048576,"*CASH*",[1]SurveyDATA!VX$1:VX$1048576,"*SAMPLING*",[1]SurveyDATA!E$1:E$1048576,"*BRGY.21*",[1]SurveyDATA!JR$1:JR$1048576,"*NEED*")</f>
        <v>0</v>
      </c>
      <c r="F40" s="221" t="e">
        <f aca="false">E40/E$44</f>
        <v>#DIV/0!</v>
      </c>
      <c r="G40" s="25" t="n">
        <f aca="false">COUNTIFS([1]SurveyDATA!KX$1:KX$1048576,"",[1]SurveyDATA!KI$1:KI$1048576,"*NO*",[1]SurveyDATA!VX$1:VX$1048576,"*SAMPLING*",[1]SurveyDATA!E$1:E$1048576,"*BRGY.21*",[1]SurveyDATA!JR$1:JR$1048576,"*NEED*")</f>
        <v>0</v>
      </c>
      <c r="H40" s="221" t="e">
        <f aca="false">G40/G$44</f>
        <v>#DIV/0!</v>
      </c>
      <c r="I40" s="25" t="n">
        <f aca="false">SUM(G40,E40,C40)</f>
        <v>0</v>
      </c>
      <c r="J40" s="221" t="e">
        <f aca="false">I40/$I$44</f>
        <v>#DIV/0!</v>
      </c>
    </row>
    <row r="41" customFormat="false" ht="15.75" hidden="false" customHeight="false" outlineLevel="0" collapsed="false">
      <c r="A41" s="174"/>
      <c r="B41" s="227" t="s">
        <v>96</v>
      </c>
      <c r="C41" s="25" t="n">
        <f aca="false">COUNTIFS([1]SurveyDATA!KX$1:KX$1048576,"Y",[1]SurveyDATA!KI$1:KI$1048576,"*RELOCATION*",[1]SurveyDATA!VX$1:VX$1048576,"*SAMPLING*",[1]SurveyDATA!E$1:E$1048576,"*BRGY.25*",[1]SurveyDATA!JR$1:JR$1048576,"*NEED*")</f>
        <v>0</v>
      </c>
      <c r="D41" s="221" t="e">
        <f aca="false">C41/C$44</f>
        <v>#DIV/0!</v>
      </c>
      <c r="E41" s="25" t="n">
        <f aca="false">COUNTIFS([1]SurveyDATA!KX$1:KX$1048576,"No",[1]SurveyDATA!KI$1:KI$1048576,"*CASH*",[1]SurveyDATA!VX$1:VX$1048576,"*SAMPLING*",[1]SurveyDATA!E$1:E$1048576,"*BRGY.25*",[1]SurveyDATA!JR$1:JR$1048576,"*NEED*")</f>
        <v>0</v>
      </c>
      <c r="F41" s="221" t="e">
        <f aca="false">E41/E$44</f>
        <v>#DIV/0!</v>
      </c>
      <c r="G41" s="25" t="n">
        <f aca="false">COUNTIFS([1]SurveyDATA!KX$1:KX$1048576,"",[1]SurveyDATA!KI$1:KI$1048576,"*NO*",[1]SurveyDATA!VX$1:VX$1048576,"*SAMPLING*",[1]SurveyDATA!E$1:E$1048576,"*BRGY.25*",[1]SurveyDATA!JR$1:JR$1048576,"*NEED*")</f>
        <v>0</v>
      </c>
      <c r="H41" s="221" t="e">
        <f aca="false">G41/G$44</f>
        <v>#DIV/0!</v>
      </c>
      <c r="I41" s="25" t="n">
        <f aca="false">SUM(G41,E41,C41)</f>
        <v>0</v>
      </c>
      <c r="J41" s="221" t="e">
        <f aca="false">I41/$I$44</f>
        <v>#DIV/0!</v>
      </c>
    </row>
    <row r="42" customFormat="false" ht="15.75" hidden="false" customHeight="false" outlineLevel="0" collapsed="false">
      <c r="A42" s="174"/>
      <c r="B42" s="227" t="s">
        <v>97</v>
      </c>
      <c r="C42" s="25" t="n">
        <f aca="false">COUNTIFS([1]SurveyDATA!KX$1:KX$1048576,"Y",[1]SurveyDATA!KI$1:KI$1048576,"*RELOCATION*",[1]SurveyDATA!VX$1:VX$1048576,"*SAMPLING*",[1]SurveyDATA!E$1:E$1048576,"*BRGY.29*",[1]SurveyDATA!JR$1:JR$1048576,"*NEED*")</f>
        <v>0</v>
      </c>
      <c r="D42" s="221" t="e">
        <f aca="false">C42/C$44</f>
        <v>#DIV/0!</v>
      </c>
      <c r="E42" s="25" t="n">
        <f aca="false">COUNTIFS([1]SurveyDATA!KX$1:KX$1048576,"No",[1]SurveyDATA!KI$1:KI$1048576,"*CASH*",[1]SurveyDATA!VX$1:VX$1048576,"*SAMPLING*",[1]SurveyDATA!E$1:E$1048576,"*BRGY.29*",[1]SurveyDATA!JR$1:JR$1048576,"*NEED*")</f>
        <v>0</v>
      </c>
      <c r="F42" s="221" t="e">
        <f aca="false">E42/E$44</f>
        <v>#DIV/0!</v>
      </c>
      <c r="G42" s="25" t="n">
        <f aca="false">COUNTIFS([1]SurveyDATA!KX$1:KX$1048576,"",[1]SurveyDATA!KI$1:KI$1048576,"*NO*",[1]SurveyDATA!VX$1:VX$1048576,"*SAMPLING*",[1]SurveyDATA!E$1:E$1048576,"*BRGY.29*",[1]SurveyDATA!JR$1:JR$1048576,"*NEED*")</f>
        <v>0</v>
      </c>
      <c r="H42" s="221" t="e">
        <f aca="false">G42/G$44</f>
        <v>#DIV/0!</v>
      </c>
      <c r="I42" s="25" t="n">
        <f aca="false">SUM(G42,E42,C42)</f>
        <v>0</v>
      </c>
      <c r="J42" s="221" t="e">
        <f aca="false">I42/$I$44</f>
        <v>#DIV/0!</v>
      </c>
    </row>
    <row r="43" customFormat="false" ht="15.75" hidden="false" customHeight="false" outlineLevel="0" collapsed="false">
      <c r="A43" s="174"/>
      <c r="B43" s="227" t="s">
        <v>98</v>
      </c>
      <c r="C43" s="25" t="n">
        <f aca="false">COUNTIFS([1]SurveyDATA!KX$1:KX$1048576,"Y",[1]SurveyDATA!KI$1:KI$1048576,"*RELOCATION*",[1]SurveyDATA!VX$1:VX$1048576,"*SAMPLING*",[1]SurveyDATA!E$1:E$1048576,"*BRGY.32*",[1]SurveyDATA!JR$1:JR$1048576,"*NEED*")</f>
        <v>0</v>
      </c>
      <c r="D43" s="221" t="e">
        <f aca="false">C43/C$44</f>
        <v>#DIV/0!</v>
      </c>
      <c r="E43" s="25" t="n">
        <f aca="false">COUNTIFS([1]SurveyDATA!KX$1:KX$1048576,"No",[1]SurveyDATA!KI$1:KI$1048576,"*CASH*",[1]SurveyDATA!VX$1:VX$1048576,"*SAMPLING*",[1]SurveyDATA!E$1:E$1048576,"*BRGY.32*",[1]SurveyDATA!JR$1:JR$1048576,"*NEED*")</f>
        <v>0</v>
      </c>
      <c r="F43" s="221" t="e">
        <f aca="false">E43/E$44</f>
        <v>#DIV/0!</v>
      </c>
      <c r="G43" s="25" t="n">
        <f aca="false">COUNTIFS([1]SurveyDATA!KX$1:KX$1048576,"",[1]SurveyDATA!KI$1:KI$1048576,"*NO*",[1]SurveyDATA!VX$1:VX$1048576,"*SAMPLING*",[1]SurveyDATA!E$1:E$1048576,"*BRGY.32*",[1]SurveyDATA!JR$1:JR$1048576,"*NEED*")</f>
        <v>0</v>
      </c>
      <c r="H43" s="221" t="e">
        <f aca="false">G43/G$44</f>
        <v>#DIV/0!</v>
      </c>
      <c r="I43" s="25" t="n">
        <f aca="false">SUM(G43,E43,C43)</f>
        <v>0</v>
      </c>
      <c r="J43" s="221" t="e">
        <f aca="false">I43/$I$44</f>
        <v>#DIV/0!</v>
      </c>
    </row>
    <row r="44" customFormat="false" ht="15.75" hidden="false" customHeight="false" outlineLevel="0" collapsed="false">
      <c r="A44" s="174"/>
      <c r="B44" s="227" t="s">
        <v>99</v>
      </c>
      <c r="C44" s="25" t="n">
        <f aca="false">COUNTIFS([1]SurveyDATA!KX$1:KX$1048576,"Y",[1]SurveyDATA!KI$1:KI$1048576,"*RELOCATION*",[1]SurveyDATA!VX$1:VX$1048576,"*SAMPLING*",[1]SurveyDATA!E$1:E$1048576,"*BRGY.33*",[1]SurveyDATA!JR$1:JR$1048576,"*NEED*")</f>
        <v>0</v>
      </c>
      <c r="D44" s="221" t="e">
        <f aca="false">C44/C$44</f>
        <v>#DIV/0!</v>
      </c>
      <c r="E44" s="25" t="n">
        <f aca="false">COUNTIFS([1]SurveyDATA!KX$1:KX$1048576,"No",[1]SurveyDATA!KI$1:KI$1048576,"*CASH*",[1]SurveyDATA!VX$1:VX$1048576,"*SAMPLING*",[1]SurveyDATA!E$1:E$1048576,"*BRGY.33*",[1]SurveyDATA!JR$1:JR$1048576,"*NEED*")</f>
        <v>0</v>
      </c>
      <c r="F44" s="221" t="e">
        <f aca="false">E44/E$44</f>
        <v>#DIV/0!</v>
      </c>
      <c r="G44" s="25" t="n">
        <f aca="false">COUNTIFS([1]SurveyDATA!KX$1:KX$1048576,"",[1]SurveyDATA!KI$1:KI$1048576,"*NO*",[1]SurveyDATA!VX$1:VX$1048576,"*SAMPLING*",[1]SurveyDATA!E$1:E$1048576,"*BRGY.33*",[1]SurveyDATA!JR$1:JR$1048576,"*NEED*")</f>
        <v>0</v>
      </c>
      <c r="H44" s="221" t="e">
        <f aca="false">G44/G$44</f>
        <v>#DIV/0!</v>
      </c>
      <c r="I44" s="25" t="n">
        <f aca="false">SUM(G44,E44,C44)</f>
        <v>0</v>
      </c>
      <c r="J44" s="221" t="e">
        <f aca="false">I44/$I$44</f>
        <v>#DIV/0!</v>
      </c>
    </row>
    <row r="45" customFormat="false" ht="15.75" hidden="false" customHeight="false" outlineLevel="0" collapsed="false">
      <c r="A45" s="230"/>
      <c r="B45" s="231" t="s">
        <v>22</v>
      </c>
      <c r="C45" s="27" t="n">
        <f aca="false">COUNTIFS([1]SurveyDATA!KX$1:KX$1048576,"Y",[1]SurveyDATA!KI$1:KI$1048576,"*RELOCATION*",[1]SurveyDATA!VX$1:VX$1048576,"*SAMPLING*",[1]SurveyDATA!E$1:E$1048576,"*CALOOCAN*",[1]SurveyDATA!JR$1:JR$1048576,"*NEED*")</f>
        <v>0</v>
      </c>
      <c r="D45" s="224" t="e">
        <f aca="false">C45/I45</f>
        <v>#DIV/0!</v>
      </c>
      <c r="E45" s="27" t="n">
        <f aca="false">COUNTIFS([1]SurveyDATA!KX$1:KX$1048576,"No",[1]SurveyDATA!KI$1:KI$1048576,"*CASH*",[1]SurveyDATA!VX$1:VX$1048576,"*SAMPLING*",[1]SurveyDATA!E$1:E$1048576,"*CALOOCAN*",[1]SurveyDATA!JR$1:JR$1048576,"*NEED*")</f>
        <v>0</v>
      </c>
      <c r="F45" s="224" t="e">
        <f aca="false">E45/I45</f>
        <v>#DIV/0!</v>
      </c>
      <c r="G45" s="27" t="n">
        <f aca="false">COUNTIFS([1]SurveyDATA!KX$1:KX$1048576,"",[1]SurveyDATA!KI$1:KI$1048576,"*NO*",[1]SurveyDATA!VX$1:VX$1048576,"*SAMPLING*",[1]SurveyDATA!E$1:E$1048576,"*CALOOCAN*",[1]SurveyDATA!JR$1:JR$1048576,"*NEED*")</f>
        <v>0</v>
      </c>
      <c r="H45" s="224" t="e">
        <f aca="false">G45/I45</f>
        <v>#DIV/0!</v>
      </c>
      <c r="I45" s="27" t="n">
        <f aca="false">SUM(G45,E45,C45)</f>
        <v>0</v>
      </c>
      <c r="J45" s="224" t="e">
        <f aca="false">I45/I63</f>
        <v>#DIV/0!</v>
      </c>
    </row>
    <row r="46" customFormat="false" ht="15.75" hidden="false" customHeight="false" outlineLevel="0" collapsed="false">
      <c r="A46" s="174" t="s">
        <v>57</v>
      </c>
      <c r="B46" s="227" t="s">
        <v>101</v>
      </c>
      <c r="C46" s="25" t="n">
        <f aca="false">COUNTIFS([1]SurveyDATA!KX$1:KX$1048576,"Y",[1]SurveyDATA!KI$1:KI$1048576,"*RELOCATION*",[1]SurveyDATA!VX$1:VX$1048576,"*SAMPLING*",[1]SurveyDATA!E$1:E$1048576,"*BRGY.184*",[1]SurveyDATA!JR$1:JR$1048576,"*NEED*")</f>
        <v>0</v>
      </c>
      <c r="D46" s="221" t="e">
        <f aca="false">C46/C$61</f>
        <v>#DIV/0!</v>
      </c>
      <c r="E46" s="25" t="n">
        <f aca="false">COUNTIFS([1]SurveyDATA!KX$1:KX$1048576,"No",[1]SurveyDATA!KI$1:KI$1048576,"*CASH*",[1]SurveyDATA!VX$1:VX$1048576,"*SAMPLING*",[1]SurveyDATA!E$1:E$1048576,"*BRGY.184*",[1]SurveyDATA!JR$1:JR$1048576,"*NEED*")</f>
        <v>0</v>
      </c>
      <c r="F46" s="221" t="e">
        <f aca="false">E46/E$61</f>
        <v>#DIV/0!</v>
      </c>
      <c r="G46" s="25" t="n">
        <f aca="false">COUNTIFS([1]SurveyDATA!KX$1:KX$1048576,"",[1]SurveyDATA!KI$1:KI$1048576,"*NO*",[1]SurveyDATA!VX$1:VX$1048576,"*SAMPLING*",[1]SurveyDATA!E$1:E$1048576,"*BRGY.184*",[1]SurveyDATA!JR$1:JR$1048576,"*NEED*")</f>
        <v>0</v>
      </c>
      <c r="H46" s="221" t="e">
        <f aca="false">G46/G$61</f>
        <v>#DIV/0!</v>
      </c>
      <c r="I46" s="25" t="n">
        <f aca="false">SUM(G46,E46,C46)</f>
        <v>0</v>
      </c>
      <c r="J46" s="221" t="e">
        <f aca="false">G46/I$61</f>
        <v>#DIV/0!</v>
      </c>
    </row>
    <row r="47" customFormat="false" ht="15.75" hidden="false" customHeight="false" outlineLevel="0" collapsed="false">
      <c r="A47" s="174"/>
      <c r="B47" s="227" t="s">
        <v>102</v>
      </c>
      <c r="C47" s="25" t="n">
        <f aca="false">COUNTIFS([1]SurveyDATA!KX$1:KX$1048576,"Y",[1]SurveyDATA!KI$1:KI$1048576,"*RELOCATION*",[1]SurveyDATA!VX$1:VX$1048576,"*SAMPLING*",[1]SurveyDATA!E$1:E$1048576,"*BRGY.186*",[1]SurveyDATA!JR$1:JR$1048576,"*NEED*")</f>
        <v>0</v>
      </c>
      <c r="D47" s="221" t="e">
        <f aca="false">C47/C$61</f>
        <v>#DIV/0!</v>
      </c>
      <c r="E47" s="25" t="n">
        <f aca="false">COUNTIFS([1]SurveyDATA!KX$1:KX$1048576,"No",[1]SurveyDATA!KI$1:KI$1048576,"*CASH*",[1]SurveyDATA!VX$1:VX$1048576,"*SAMPLING*",[1]SurveyDATA!E$1:E$1048576,"*BRGY.186*",[1]SurveyDATA!JR$1:JR$1048576,"*NEED*")</f>
        <v>0</v>
      </c>
      <c r="F47" s="221" t="e">
        <f aca="false">E47/E$61</f>
        <v>#DIV/0!</v>
      </c>
      <c r="G47" s="25" t="n">
        <f aca="false">COUNTIFS([1]SurveyDATA!KX$1:KX$1048576,"",[1]SurveyDATA!KI$1:KI$1048576,"*NO*",[1]SurveyDATA!VX$1:VX$1048576,"*SAMPLING*",[1]SurveyDATA!E$1:E$1048576,"*BRGY.186*",[1]SurveyDATA!JR$1:JR$1048576,"*NEED*")</f>
        <v>0</v>
      </c>
      <c r="H47" s="221" t="e">
        <f aca="false">G47/G$61</f>
        <v>#DIV/0!</v>
      </c>
      <c r="I47" s="25" t="n">
        <f aca="false">SUM(G47,E47,C47)</f>
        <v>0</v>
      </c>
      <c r="J47" s="221" t="e">
        <f aca="false">G47/I$61</f>
        <v>#DIV/0!</v>
      </c>
    </row>
    <row r="48" customFormat="false" ht="15.75" hidden="false" customHeight="false" outlineLevel="0" collapsed="false">
      <c r="A48" s="174"/>
      <c r="B48" s="227" t="s">
        <v>103</v>
      </c>
      <c r="C48" s="25" t="n">
        <f aca="false">COUNTIFS([1]SurveyDATA!KX$1:KX$1048576,"Y",[1]SurveyDATA!KI$1:KI$1048576,"*RELOCATION*",[1]SurveyDATA!VX$1:VX$1048576,"*SAMPLING*",[1]SurveyDATA!E$1:E$1048576,"*BRGY.185*",[1]SurveyDATA!JR$1:JR$1048576,"*NEED*")</f>
        <v>0</v>
      </c>
      <c r="D48" s="221" t="e">
        <f aca="false">C48/C$61</f>
        <v>#DIV/0!</v>
      </c>
      <c r="E48" s="25" t="n">
        <f aca="false">COUNTIFS([1]SurveyDATA!KX$1:KX$1048576,"No",[1]SurveyDATA!KI$1:KI$1048576,"*CASH*",[1]SurveyDATA!VX$1:VX$1048576,"*SAMPLING*",[1]SurveyDATA!E$1:E$1048576,"*BRGY.185*",[1]SurveyDATA!JR$1:JR$1048576,"*NEED*")</f>
        <v>0</v>
      </c>
      <c r="F48" s="221" t="e">
        <f aca="false">E48/E$61</f>
        <v>#DIV/0!</v>
      </c>
      <c r="G48" s="25" t="n">
        <f aca="false">COUNTIFS([1]SurveyDATA!KX$1:KX$1048576,"",[1]SurveyDATA!KI$1:KI$1048576,"*NO*",[1]SurveyDATA!VX$1:VX$1048576,"*SAMPLING*",[1]SurveyDATA!E$1:E$1048576,"*BRGY.185*",[1]SurveyDATA!JR$1:JR$1048576,"*NEED*")</f>
        <v>0</v>
      </c>
      <c r="H48" s="221" t="e">
        <f aca="false">G48/G$61</f>
        <v>#DIV/0!</v>
      </c>
      <c r="I48" s="25" t="n">
        <f aca="false">SUM(G48,E48,C48)</f>
        <v>0</v>
      </c>
      <c r="J48" s="221" t="e">
        <f aca="false">G48/I$61</f>
        <v>#DIV/0!</v>
      </c>
    </row>
    <row r="49" customFormat="false" ht="15.75" hidden="false" customHeight="false" outlineLevel="0" collapsed="false">
      <c r="A49" s="174"/>
      <c r="B49" s="227" t="s">
        <v>104</v>
      </c>
      <c r="C49" s="25" t="n">
        <f aca="false">COUNTIFS([1]SurveyDATA!KX$1:KX$1048576,"Y",[1]SurveyDATA!KI$1:KI$1048576,"*RELOCATION*",[1]SurveyDATA!VX$1:VX$1048576,"*SAMPLING*",[1]SurveyDATA!E$1:E$1048576,"*BRGY.204*",[1]SurveyDATA!JR$1:JR$1048576,"*NEED*")</f>
        <v>0</v>
      </c>
      <c r="D49" s="221" t="e">
        <f aca="false">C49/C$61</f>
        <v>#DIV/0!</v>
      </c>
      <c r="E49" s="25" t="n">
        <f aca="false">COUNTIFS([1]SurveyDATA!KX$1:KX$1048576,"No",[1]SurveyDATA!KI$1:KI$1048576,"*CASH*",[1]SurveyDATA!VX$1:VX$1048576,"*SAMPLING*",[1]SurveyDATA!E$1:E$1048576,"*BRGY.204*",[1]SurveyDATA!JR$1:JR$1048576,"*NEED*")</f>
        <v>0</v>
      </c>
      <c r="F49" s="221" t="e">
        <f aca="false">E49/E$61</f>
        <v>#DIV/0!</v>
      </c>
      <c r="G49" s="25" t="n">
        <f aca="false">COUNTIFS([1]SurveyDATA!KX$1:KX$1048576,"",[1]SurveyDATA!KI$1:KI$1048576,"*NO*",[1]SurveyDATA!VX$1:VX$1048576,"*SAMPLING*",[1]SurveyDATA!E$1:E$1048576,"*BRGY.204*",[1]SurveyDATA!JR$1:JR$1048576,"*NEED*")</f>
        <v>0</v>
      </c>
      <c r="H49" s="221" t="e">
        <f aca="false">G49/G$61</f>
        <v>#DIV/0!</v>
      </c>
      <c r="I49" s="25" t="n">
        <f aca="false">SUM(G49,E49,C49)</f>
        <v>0</v>
      </c>
      <c r="J49" s="221" t="e">
        <f aca="false">G49/I$61</f>
        <v>#DIV/0!</v>
      </c>
    </row>
    <row r="50" customFormat="false" ht="15.75" hidden="false" customHeight="false" outlineLevel="0" collapsed="false">
      <c r="A50" s="174"/>
      <c r="B50" s="227" t="s">
        <v>105</v>
      </c>
      <c r="C50" s="25" t="n">
        <f aca="false">COUNTIFS([1]SurveyDATA!KX$1:KX$1048576,"Y",[1]SurveyDATA!KI$1:KI$1048576,"*RELOCATION*",[1]SurveyDATA!VX$1:VX$1048576,"*SAMPLING*",[1]SurveyDATA!E$1:E$1048576,"*BRGY.165*",[1]SurveyDATA!JR$1:JR$1048576,"*NEED*")</f>
        <v>0</v>
      </c>
      <c r="D50" s="221" t="e">
        <f aca="false">C50/C$61</f>
        <v>#DIV/0!</v>
      </c>
      <c r="E50" s="25" t="n">
        <f aca="false">COUNTIFS([1]SurveyDATA!KX$1:KX$1048576,"No",[1]SurveyDATA!KI$1:KI$1048576,"*CASH*",[1]SurveyDATA!VX$1:VX$1048576,"*SAMPLING*",[1]SurveyDATA!E$1:E$1048576,"*BRGY.165*",[1]SurveyDATA!JR$1:JR$1048576,"*NEED*")</f>
        <v>0</v>
      </c>
      <c r="F50" s="221" t="e">
        <f aca="false">E50/E$61</f>
        <v>#DIV/0!</v>
      </c>
      <c r="G50" s="25" t="n">
        <f aca="false">COUNTIFS([1]SurveyDATA!KX$1:KX$1048576,"",[1]SurveyDATA!KI$1:KI$1048576,"*NO*",[1]SurveyDATA!VX$1:VX$1048576,"*SAMPLING*",[1]SurveyDATA!E$1:E$1048576,"*BRGY.165*",[1]SurveyDATA!JR$1:JR$1048576,"*NEED*")</f>
        <v>0</v>
      </c>
      <c r="H50" s="221" t="e">
        <f aca="false">G50/G$61</f>
        <v>#DIV/0!</v>
      </c>
      <c r="I50" s="25" t="n">
        <f aca="false">SUM(G50,E50,C50)</f>
        <v>0</v>
      </c>
      <c r="J50" s="221" t="e">
        <f aca="false">G50/I$61</f>
        <v>#DIV/0!</v>
      </c>
    </row>
    <row r="51" customFormat="false" ht="15.75" hidden="false" customHeight="false" outlineLevel="0" collapsed="false">
      <c r="A51" s="174"/>
      <c r="B51" s="227" t="s">
        <v>106</v>
      </c>
      <c r="C51" s="25" t="n">
        <f aca="false">COUNTIFS([1]SurveyDATA!KX$1:KX$1048576,"Y",[1]SurveyDATA!KI$1:KI$1048576,"*RELOCATION*",[1]SurveyDATA!VX$1:VX$1048576,"*SAMPLING*",[1]SurveyDATA!E$1:E$1048576,"*BRGY.164*",[1]SurveyDATA!JR$1:JR$1048576,"*NEED*")</f>
        <v>0</v>
      </c>
      <c r="D51" s="221" t="e">
        <f aca="false">C51/C$61</f>
        <v>#DIV/0!</v>
      </c>
      <c r="E51" s="25" t="n">
        <f aca="false">COUNTIFS([1]SurveyDATA!KX$1:KX$1048576,"No",[1]SurveyDATA!KI$1:KI$1048576,"*CASH*",[1]SurveyDATA!VX$1:VX$1048576,"*SAMPLING*",[1]SurveyDATA!E$1:E$1048576,"*BRGY.164*",[1]SurveyDATA!JR$1:JR$1048576,"*NEED*")</f>
        <v>0</v>
      </c>
      <c r="F51" s="221" t="e">
        <f aca="false">E51/E$61</f>
        <v>#DIV/0!</v>
      </c>
      <c r="G51" s="25" t="n">
        <f aca="false">COUNTIFS([1]SurveyDATA!KX$1:KX$1048576,"",[1]SurveyDATA!KI$1:KI$1048576,"*NO*",[1]SurveyDATA!VX$1:VX$1048576,"*SAMPLING*",[1]SurveyDATA!E$1:E$1048576,"*BRGY.164*",[1]SurveyDATA!JR$1:JR$1048576,"*NEED*")</f>
        <v>0</v>
      </c>
      <c r="H51" s="221" t="e">
        <f aca="false">G51/G$61</f>
        <v>#DIV/0!</v>
      </c>
      <c r="I51" s="25" t="n">
        <f aca="false">SUM(G51,E51,C51)</f>
        <v>0</v>
      </c>
      <c r="J51" s="221" t="e">
        <f aca="false">G51/I$61</f>
        <v>#DIV/0!</v>
      </c>
    </row>
    <row r="52" customFormat="false" ht="15.75" hidden="false" customHeight="false" outlineLevel="0" collapsed="false">
      <c r="A52" s="174"/>
      <c r="B52" s="227" t="s">
        <v>107</v>
      </c>
      <c r="C52" s="25" t="n">
        <f aca="false">COUNTIFS([1]SurveyDATA!KX$1:KX$1048576,"Y",[1]SurveyDATA!KI$1:KI$1048576,"*RELOCATION*",[1]SurveyDATA!VX$1:VX$1048576,"*SAMPLING*",[1]SurveyDATA!E$1:E$1048576,"*BRGY.152*",[1]SurveyDATA!JR$1:JR$1048576,"*NEED*")</f>
        <v>0</v>
      </c>
      <c r="D52" s="221" t="e">
        <f aca="false">C52/C$61</f>
        <v>#DIV/0!</v>
      </c>
      <c r="E52" s="25" t="n">
        <f aca="false">COUNTIFS([1]SurveyDATA!KX$1:KX$1048576,"No",[1]SurveyDATA!KI$1:KI$1048576,"*CASH*",[1]SurveyDATA!VX$1:VX$1048576,"*SAMPLING*",[1]SurveyDATA!E$1:E$1048576,"*BRGY.152*",[1]SurveyDATA!JR$1:JR$1048576,"*NEED*")</f>
        <v>0</v>
      </c>
      <c r="F52" s="221" t="e">
        <f aca="false">E52/E$61</f>
        <v>#DIV/0!</v>
      </c>
      <c r="G52" s="25" t="n">
        <f aca="false">COUNTIFS([1]SurveyDATA!KX$1:KX$1048576,"",[1]SurveyDATA!KI$1:KI$1048576,"*NO*",[1]SurveyDATA!VX$1:VX$1048576,"*SAMPLING*",[1]SurveyDATA!E$1:E$1048576,"*BRGY.152*",[1]SurveyDATA!JR$1:JR$1048576,"*NEED*")</f>
        <v>0</v>
      </c>
      <c r="H52" s="221" t="e">
        <f aca="false">G52/G$61</f>
        <v>#DIV/0!</v>
      </c>
      <c r="I52" s="25" t="n">
        <f aca="false">SUM(G52,E52,C52)</f>
        <v>0</v>
      </c>
      <c r="J52" s="221" t="e">
        <f aca="false">G52/I$61</f>
        <v>#DIV/0!</v>
      </c>
    </row>
    <row r="53" customFormat="false" ht="15.75" hidden="false" customHeight="false" outlineLevel="0" collapsed="false">
      <c r="A53" s="174"/>
      <c r="B53" s="227" t="s">
        <v>108</v>
      </c>
      <c r="C53" s="25" t="n">
        <f aca="false">COUNTIFS([1]SurveyDATA!KX$1:KX$1048576,"Y",[1]SurveyDATA!KI$1:KI$1048576,"*RELOCATION*",[1]SurveyDATA!VX$1:VX$1048576,"*SAMPLING*",[1]SurveyDATA!E$1:E$1048576,"*BRGY.155*",[1]SurveyDATA!JR$1:JR$1048576,"*NEED*")</f>
        <v>0</v>
      </c>
      <c r="D53" s="221" t="e">
        <f aca="false">C53/C$61</f>
        <v>#DIV/0!</v>
      </c>
      <c r="E53" s="25" t="n">
        <f aca="false">COUNTIFS([1]SurveyDATA!KX$1:KX$1048576,"No",[1]SurveyDATA!KI$1:KI$1048576,"*CASH*",[1]SurveyDATA!VX$1:VX$1048576,"*SAMPLING*",[1]SurveyDATA!E$1:E$1048576,"*BRGY.155*",[1]SurveyDATA!JR$1:JR$1048576,"*NEED*")</f>
        <v>0</v>
      </c>
      <c r="F53" s="221" t="e">
        <f aca="false">E53/E$61</f>
        <v>#DIV/0!</v>
      </c>
      <c r="G53" s="25" t="n">
        <f aca="false">COUNTIFS([1]SurveyDATA!KX$1:KX$1048576,"",[1]SurveyDATA!KI$1:KI$1048576,"*NO*",[1]SurveyDATA!VX$1:VX$1048576,"*SAMPLING*",[1]SurveyDATA!E$1:E$1048576,"*BRGY.155*",[1]SurveyDATA!JR$1:JR$1048576,"*NEED*")</f>
        <v>0</v>
      </c>
      <c r="H53" s="221" t="e">
        <f aca="false">G53/G$61</f>
        <v>#DIV/0!</v>
      </c>
      <c r="I53" s="25" t="n">
        <f aca="false">SUM(G53,E53,C53)</f>
        <v>0</v>
      </c>
      <c r="J53" s="221" t="e">
        <f aca="false">G53/I$61</f>
        <v>#DIV/0!</v>
      </c>
    </row>
    <row r="54" customFormat="false" ht="15.75" hidden="false" customHeight="false" outlineLevel="0" collapsed="false">
      <c r="A54" s="174"/>
      <c r="B54" s="227" t="s">
        <v>109</v>
      </c>
      <c r="C54" s="25" t="n">
        <f aca="false">COUNTIFS([1]SurveyDATA!KX$1:KX$1048576,"Y",[1]SurveyDATA!KI$1:KI$1048576,"*RELOCATION*",[1]SurveyDATA!VX$1:VX$1048576,"*SAMPLING*",[1]SurveyDATA!E$1:E$1048576,"*BRGY.159*",[1]SurveyDATA!JR$1:JR$1048576,"*NEED*")</f>
        <v>0</v>
      </c>
      <c r="D54" s="221" t="e">
        <f aca="false">C54/C$61</f>
        <v>#DIV/0!</v>
      </c>
      <c r="E54" s="25" t="n">
        <f aca="false">COUNTIFS([1]SurveyDATA!KX$1:KX$1048576,"No",[1]SurveyDATA!KI$1:KI$1048576,"*CASH*",[1]SurveyDATA!VX$1:VX$1048576,"*SAMPLING*",[1]SurveyDATA!E$1:E$1048576,"*BRGY.159*",[1]SurveyDATA!JR$1:JR$1048576,"*NEED*")</f>
        <v>0</v>
      </c>
      <c r="F54" s="221" t="e">
        <f aca="false">E54/E$61</f>
        <v>#DIV/0!</v>
      </c>
      <c r="G54" s="25" t="n">
        <f aca="false">COUNTIFS([1]SurveyDATA!KX$1:KX$1048576,"",[1]SurveyDATA!KI$1:KI$1048576,"*NO*",[1]SurveyDATA!VX$1:VX$1048576,"*SAMPLING*",[1]SurveyDATA!E$1:E$1048576,"*BRGY.159*",[1]SurveyDATA!JR$1:JR$1048576,"*NEED*")</f>
        <v>0</v>
      </c>
      <c r="H54" s="221" t="e">
        <f aca="false">G54/G$61</f>
        <v>#DIV/0!</v>
      </c>
      <c r="I54" s="25" t="n">
        <f aca="false">SUM(G54,E54,C54)</f>
        <v>0</v>
      </c>
      <c r="J54" s="221" t="e">
        <f aca="false">G54/I$61</f>
        <v>#DIV/0!</v>
      </c>
    </row>
    <row r="55" customFormat="false" ht="15.75" hidden="false" customHeight="false" outlineLevel="0" collapsed="false">
      <c r="A55" s="174"/>
      <c r="B55" s="227" t="s">
        <v>110</v>
      </c>
      <c r="C55" s="25" t="n">
        <f aca="false">COUNTIFS([1]SurveyDATA!KX$1:KX$1048576,"Y",[1]SurveyDATA!KI$1:KI$1048576,"*RELOCATION*",[1]SurveyDATA!VX$1:VX$1048576,"*SAMPLING*",[1]SurveyDATA!E$1:E$1048576,"*BRGY.156*",[1]SurveyDATA!JR$1:JR$1048576,"*NEED*")</f>
        <v>0</v>
      </c>
      <c r="D55" s="221" t="e">
        <f aca="false">C55/C$61</f>
        <v>#DIV/0!</v>
      </c>
      <c r="E55" s="25" t="n">
        <f aca="false">COUNTIFS([1]SurveyDATA!KX$1:KX$1048576,"No",[1]SurveyDATA!KI$1:KI$1048576,"*CASH*",[1]SurveyDATA!VX$1:VX$1048576,"*SAMPLING*",[1]SurveyDATA!E$1:E$1048576,"*BRGY.156*",[1]SurveyDATA!JR$1:JR$1048576,"*NEED*")</f>
        <v>0</v>
      </c>
      <c r="F55" s="221" t="e">
        <f aca="false">E55/E$61</f>
        <v>#DIV/0!</v>
      </c>
      <c r="G55" s="25" t="n">
        <f aca="false">COUNTIFS([1]SurveyDATA!KX$1:KX$1048576,"",[1]SurveyDATA!KI$1:KI$1048576,"*NO*",[1]SurveyDATA!VX$1:VX$1048576,"*SAMPLING*",[1]SurveyDATA!E$1:E$1048576,"*BRGY.156*",[1]SurveyDATA!JR$1:JR$1048576,"*NEED*")</f>
        <v>0</v>
      </c>
      <c r="H55" s="221" t="e">
        <f aca="false">G55/G$61</f>
        <v>#DIV/0!</v>
      </c>
      <c r="I55" s="25" t="n">
        <f aca="false">SUM(G55,E55,C55)</f>
        <v>0</v>
      </c>
      <c r="J55" s="221" t="e">
        <f aca="false">G55/I$61</f>
        <v>#DIV/0!</v>
      </c>
    </row>
    <row r="56" customFormat="false" ht="15.75" hidden="false" customHeight="false" outlineLevel="0" collapsed="false">
      <c r="A56" s="174"/>
      <c r="B56" s="227" t="s">
        <v>111</v>
      </c>
      <c r="C56" s="25" t="n">
        <f aca="false">COUNTIFS([1]SurveyDATA!KX$1:KX$1048576,"Y",[1]SurveyDATA!KI$1:KI$1048576,"*RELOCATION*",[1]SurveyDATA!VX$1:VX$1048576,"*SAMPLING*",[1]SurveyDATA!E$1:E$1048576,"*BRGY.53*",[1]SurveyDATA!JR$1:JR$1048576,"*NEED*")</f>
        <v>0</v>
      </c>
      <c r="D56" s="221" t="e">
        <f aca="false">C56/C$61</f>
        <v>#DIV/0!</v>
      </c>
      <c r="E56" s="25" t="n">
        <f aca="false">COUNTIFS([1]SurveyDATA!KX$1:KX$1048576,"No",[1]SurveyDATA!KI$1:KI$1048576,"*CASH*",[1]SurveyDATA!VX$1:VX$1048576,"*SAMPLING*",[1]SurveyDATA!E$1:E$1048576,"*BRGY.53*",[1]SurveyDATA!JR$1:JR$1048576,"*NEED*")</f>
        <v>0</v>
      </c>
      <c r="F56" s="221" t="e">
        <f aca="false">E56/E$61</f>
        <v>#DIV/0!</v>
      </c>
      <c r="G56" s="25" t="n">
        <f aca="false">COUNTIFS([1]SurveyDATA!KX$1:KX$1048576,"",[1]SurveyDATA!KI$1:KI$1048576,"*NO*",[1]SurveyDATA!VX$1:VX$1048576,"*SAMPLING*",[1]SurveyDATA!E$1:E$1048576,"*BRGY.53*",[1]SurveyDATA!JR$1:JR$1048576,"*NEED*")</f>
        <v>0</v>
      </c>
      <c r="H56" s="221" t="e">
        <f aca="false">G56/G$61</f>
        <v>#DIV/0!</v>
      </c>
      <c r="I56" s="25" t="n">
        <f aca="false">SUM(G56,E56,C56)</f>
        <v>0</v>
      </c>
      <c r="J56" s="221" t="e">
        <f aca="false">G56/I$61</f>
        <v>#DIV/0!</v>
      </c>
    </row>
    <row r="57" customFormat="false" ht="15.75" hidden="false" customHeight="false" outlineLevel="0" collapsed="false">
      <c r="A57" s="174"/>
      <c r="B57" s="227" t="s">
        <v>112</v>
      </c>
      <c r="C57" s="25" t="n">
        <f aca="false">COUNTIFS([1]SurveyDATA!KX$1:KX$1048576,"Y",[1]SurveyDATA!KI$1:KI$1048576,"*RELOCATION*",[1]SurveyDATA!VX$1:VX$1048576,"*SAMPLING*",[1]SurveyDATA!E$1:E$1048576,"*BRGY.50*",[1]SurveyDATA!JR$1:JR$1048576,"*NEED*")</f>
        <v>0</v>
      </c>
      <c r="D57" s="221" t="e">
        <f aca="false">C57/C$61</f>
        <v>#DIV/0!</v>
      </c>
      <c r="E57" s="25" t="n">
        <f aca="false">COUNTIFS([1]SurveyDATA!KX$1:KX$1048576,"No",[1]SurveyDATA!KI$1:KI$1048576,"*CASH*",[1]SurveyDATA!VX$1:VX$1048576,"*SAMPLING*",[1]SurveyDATA!E$1:E$1048576,"*BRGY.50*",[1]SurveyDATA!JR$1:JR$1048576,"*NEED*")</f>
        <v>0</v>
      </c>
      <c r="F57" s="221" t="e">
        <f aca="false">E57/E$61</f>
        <v>#DIV/0!</v>
      </c>
      <c r="G57" s="25" t="n">
        <f aca="false">COUNTIFS([1]SurveyDATA!KX$1:KX$1048576,"",[1]SurveyDATA!KI$1:KI$1048576,"*NO*",[1]SurveyDATA!VX$1:VX$1048576,"*SAMPLING*",[1]SurveyDATA!E$1:E$1048576,"*BRGY.50*",[1]SurveyDATA!JR$1:JR$1048576,"*NEED*")</f>
        <v>0</v>
      </c>
      <c r="H57" s="221" t="e">
        <f aca="false">G57/G$61</f>
        <v>#DIV/0!</v>
      </c>
      <c r="I57" s="25" t="n">
        <f aca="false">SUM(G57,E57,C57)</f>
        <v>0</v>
      </c>
      <c r="J57" s="221" t="e">
        <f aca="false">G57/I$61</f>
        <v>#DIV/0!</v>
      </c>
    </row>
    <row r="58" customFormat="false" ht="15.75" hidden="false" customHeight="false" outlineLevel="0" collapsed="false">
      <c r="A58" s="174"/>
      <c r="B58" s="227" t="s">
        <v>113</v>
      </c>
      <c r="C58" s="25" t="n">
        <f aca="false">COUNTIFS([1]SurveyDATA!KX$1:KX$1048576,"Y",[1]SurveyDATA!KI$1:KI$1048576,"*RELOCATION*",[1]SurveyDATA!VX$1:VX$1048576,"*SAMPLING*",[1]SurveyDATA!E$1:E$1048576,"*BRGY.51*",[1]SurveyDATA!JR$1:JR$1048576,"*NEED*")</f>
        <v>0</v>
      </c>
      <c r="D58" s="221" t="e">
        <f aca="false">C58/C$61</f>
        <v>#DIV/0!</v>
      </c>
      <c r="E58" s="25" t="n">
        <f aca="false">COUNTIFS([1]SurveyDATA!KX$1:KX$1048576,"No",[1]SurveyDATA!KI$1:KI$1048576,"*CASH*",[1]SurveyDATA!VX$1:VX$1048576,"*SAMPLING*",[1]SurveyDATA!E$1:E$1048576,"*BRGY.51*",[1]SurveyDATA!JR$1:JR$1048576,"*NEED*")</f>
        <v>0</v>
      </c>
      <c r="F58" s="221" t="e">
        <f aca="false">E58/E$61</f>
        <v>#DIV/0!</v>
      </c>
      <c r="G58" s="25" t="n">
        <f aca="false">COUNTIFS([1]SurveyDATA!KX$1:KX$1048576,"",[1]SurveyDATA!KI$1:KI$1048576,"*NO*",[1]SurveyDATA!VX$1:VX$1048576,"*SAMPLING*",[1]SurveyDATA!E$1:E$1048576,"*BRGY.51*",[1]SurveyDATA!JR$1:JR$1048576,"*NEED*")</f>
        <v>0</v>
      </c>
      <c r="H58" s="221" t="e">
        <f aca="false">G58/G$61</f>
        <v>#DIV/0!</v>
      </c>
      <c r="I58" s="25" t="n">
        <f aca="false">SUM(G58,E58,C58)</f>
        <v>0</v>
      </c>
      <c r="J58" s="221" t="e">
        <f aca="false">G58/I$61</f>
        <v>#DIV/0!</v>
      </c>
    </row>
    <row r="59" customFormat="false" ht="15.75" hidden="false" customHeight="false" outlineLevel="0" collapsed="false">
      <c r="A59" s="174"/>
      <c r="B59" s="227" t="s">
        <v>114</v>
      </c>
      <c r="C59" s="25" t="n">
        <f aca="false">COUNTIFS([1]SurveyDATA!KX$1:KX$1048576,"Y",[1]SurveyDATA!KI$1:KI$1048576,"*RELOCATION*",[1]SurveyDATA!VX$1:VX$1048576,"*SAMPLING*",[1]SurveyDATA!E$1:E$1048576,"*BRGY.48*",[1]SurveyDATA!JR$1:JR$1048576,"*NEED*")</f>
        <v>0</v>
      </c>
      <c r="D59" s="221" t="e">
        <f aca="false">C59/C$61</f>
        <v>#DIV/0!</v>
      </c>
      <c r="E59" s="25" t="n">
        <f aca="false">COUNTIFS([1]SurveyDATA!KX$1:KX$1048576,"No",[1]SurveyDATA!KI$1:KI$1048576,"*CASH*",[1]SurveyDATA!VX$1:VX$1048576,"*SAMPLING*",[1]SurveyDATA!E$1:E$1048576,"*BRGY.48*",[1]SurveyDATA!JR$1:JR$1048576,"*NEED*")</f>
        <v>0</v>
      </c>
      <c r="F59" s="221" t="e">
        <f aca="false">E59/E$61</f>
        <v>#DIV/0!</v>
      </c>
      <c r="G59" s="25" t="n">
        <f aca="false">COUNTIFS([1]SurveyDATA!KX$1:KX$1048576,"",[1]SurveyDATA!KI$1:KI$1048576,"*NO*",[1]SurveyDATA!VX$1:VX$1048576,"*SAMPLING*",[1]SurveyDATA!E$1:E$1048576,"*BRGY.48*",[1]SurveyDATA!JR$1:JR$1048576,"*NEED*")</f>
        <v>0</v>
      </c>
      <c r="H59" s="221" t="e">
        <f aca="false">G59/G$61</f>
        <v>#DIV/0!</v>
      </c>
      <c r="I59" s="25" t="n">
        <f aca="false">SUM(G59,E59,C59)</f>
        <v>0</v>
      </c>
      <c r="J59" s="221" t="e">
        <f aca="false">G59/I$61</f>
        <v>#DIV/0!</v>
      </c>
    </row>
    <row r="60" customFormat="false" ht="15.75" hidden="false" customHeight="false" outlineLevel="0" collapsed="false">
      <c r="A60" s="174"/>
      <c r="B60" s="227" t="s">
        <v>115</v>
      </c>
      <c r="C60" s="25" t="n">
        <f aca="false">COUNTIFS([1]SurveyDATA!KX$1:KX$1048576,"Y",[1]SurveyDATA!KI$1:KI$1048576,"*RELOCATION*",[1]SurveyDATA!VX$1:VX$1048576,"*SAMPLING*",[1]SurveyDATA!E$1:E$1048576,"*BRGY.199*",[1]SurveyDATA!JR$1:JR$1048576,"*NEED*")</f>
        <v>0</v>
      </c>
      <c r="D60" s="221" t="e">
        <f aca="false">C60/C$61</f>
        <v>#DIV/0!</v>
      </c>
      <c r="E60" s="25" t="n">
        <f aca="false">COUNTIFS([1]SurveyDATA!KX$1:KX$1048576,"No",[1]SurveyDATA!KI$1:KI$1048576,"*CASH*",[1]SurveyDATA!VX$1:VX$1048576,"*SAMPLING*",[1]SurveyDATA!E$1:E$1048576,"*BRGY.199*",[1]SurveyDATA!JR$1:JR$1048576,"*NEED*")</f>
        <v>0</v>
      </c>
      <c r="F60" s="221" t="e">
        <f aca="false">E60/E$61</f>
        <v>#DIV/0!</v>
      </c>
      <c r="G60" s="25" t="n">
        <f aca="false">COUNTIFS([1]SurveyDATA!KX$1:KX$1048576,"",[1]SurveyDATA!KI$1:KI$1048576,"*NO*",[1]SurveyDATA!VX$1:VX$1048576,"*SAMPLING*",[1]SurveyDATA!E$1:E$1048576,"*BRGY.199*",[1]SurveyDATA!JR$1:JR$1048576,"*NEED*")</f>
        <v>0</v>
      </c>
      <c r="H60" s="221" t="e">
        <f aca="false">G60/G$61</f>
        <v>#DIV/0!</v>
      </c>
      <c r="I60" s="25" t="n">
        <f aca="false">SUM(G60,E60,C60)</f>
        <v>0</v>
      </c>
      <c r="J60" s="221" t="e">
        <f aca="false">G60/I$61</f>
        <v>#DIV/0!</v>
      </c>
    </row>
    <row r="61" customFormat="false" ht="15.75" hidden="false" customHeight="false" outlineLevel="0" collapsed="false">
      <c r="A61" s="174"/>
      <c r="B61" s="227" t="s">
        <v>116</v>
      </c>
      <c r="C61" s="25" t="n">
        <f aca="false">COUNTIFS([1]SurveyDATA!KX$1:KX$1048576,"Y",[1]SurveyDATA!KI$1:KI$1048576,"*RELOCATION*",[1]SurveyDATA!VX$1:VX$1048576,"*SAMPLING*",[1]SurveyDATA!E$1:E$1048576,"*BRGY.200*",[1]SurveyDATA!JR$1:JR$1048576,"*NEED*")</f>
        <v>0</v>
      </c>
      <c r="D61" s="221" t="e">
        <f aca="false">C61/C$61</f>
        <v>#DIV/0!</v>
      </c>
      <c r="E61" s="25" t="n">
        <f aca="false">COUNTIFS([1]SurveyDATA!KX$1:KX$1048576,"No",[1]SurveyDATA!KI$1:KI$1048576,"*CASH*",[1]SurveyDATA!VX$1:VX$1048576,"*SAMPLING*",[1]SurveyDATA!E$1:E$1048576,"*BRGY.200*",[1]SurveyDATA!JR$1:JR$1048576,"*NEED*")</f>
        <v>0</v>
      </c>
      <c r="F61" s="221" t="e">
        <f aca="false">E61/E$61</f>
        <v>#DIV/0!</v>
      </c>
      <c r="G61" s="25" t="n">
        <f aca="false">COUNTIFS([1]SurveyDATA!KX$1:KX$1048576,"",[1]SurveyDATA!KI$1:KI$1048576,"*NO*",[1]SurveyDATA!VX$1:VX$1048576,"*SAMPLING*",[1]SurveyDATA!E$1:E$1048576,"*BRGY.200*",[1]SurveyDATA!JR$1:JR$1048576,"*NEED*")</f>
        <v>0</v>
      </c>
      <c r="H61" s="221" t="e">
        <f aca="false">G61/G$61</f>
        <v>#DIV/0!</v>
      </c>
      <c r="I61" s="25" t="n">
        <f aca="false">SUM(G61,E61,C61)</f>
        <v>0</v>
      </c>
      <c r="J61" s="221" t="e">
        <f aca="false">G61/I$61</f>
        <v>#DIV/0!</v>
      </c>
    </row>
    <row r="62" customFormat="false" ht="15.75" hidden="false" customHeight="false" outlineLevel="0" collapsed="false">
      <c r="A62" s="168"/>
      <c r="B62" s="237" t="s">
        <v>22</v>
      </c>
      <c r="C62" s="27" t="n">
        <f aca="false">COUNTIFS([1]SurveyDATA!KX$1:KX$1048576,"Y",[1]SurveyDATA!KI$1:KI$1048576,"*RELOCATION*",[1]SurveyDATA!VX$1:VX$1048576,"*SAMPLING*",[1]SurveyDATA!E$1:E$1048576,"*MANILA*",[1]SurveyDATA!JR$1:JR$1048576,"*NEED*")</f>
        <v>0</v>
      </c>
      <c r="D62" s="224" t="e">
        <f aca="false">C62/C63</f>
        <v>#DIV/0!</v>
      </c>
      <c r="E62" s="27" t="n">
        <f aca="false">COUNTIFS([1]SurveyDATA!KX$1:KX$1048576,"No",[1]SurveyDATA!KI$1:KI$1048576,"*CASH*",[1]SurveyDATA!VX$1:VX$1048576,"*SAMPLING*",[1]SurveyDATA!E$1:E$1048576,"*MANILA*",[1]SurveyDATA!JR$1:JR$1048576,"*NEED*")</f>
        <v>0</v>
      </c>
      <c r="F62" s="224" t="e">
        <f aca="false">E62/E63</f>
        <v>#DIV/0!</v>
      </c>
      <c r="G62" s="27" t="n">
        <f aca="false">COUNTIFS([1]SurveyDATA!KX$1:KX$1048576,"",[1]SurveyDATA!KI$1:KI$1048576,"*NO*",[1]SurveyDATA!VX$1:VX$1048576,"*SAMPLING*",[1]SurveyDATA!E$1:E$1048576,"*MANILA*",[1]SurveyDATA!JR$1:JR$1048576,"*NEED*")</f>
        <v>0</v>
      </c>
      <c r="H62" s="224" t="e">
        <f aca="false">G62/G63</f>
        <v>#DIV/0!</v>
      </c>
      <c r="I62" s="27" t="n">
        <f aca="false">SUM(G62,E62,C62)</f>
        <v>0</v>
      </c>
      <c r="J62" s="224" t="e">
        <f aca="false">I62/I63</f>
        <v>#DIV/0!</v>
      </c>
    </row>
    <row r="63" customFormat="false" ht="15.75" hidden="false" customHeight="false" outlineLevel="0" collapsed="false">
      <c r="A63" s="238"/>
      <c r="B63" s="238" t="s">
        <v>74</v>
      </c>
      <c r="C63" s="229" t="n">
        <f aca="false">SUM(C62,C45,C35,C31,C26,C22,C18,C16,C11)</f>
        <v>0</v>
      </c>
      <c r="D63" s="239" t="e">
        <f aca="false">C63/$I63</f>
        <v>#DIV/0!</v>
      </c>
      <c r="E63" s="229" t="n">
        <f aca="false">SUM(E62,E45,E35,E31,E26,E22,E18,E16,E11)</f>
        <v>0</v>
      </c>
      <c r="F63" s="239" t="e">
        <f aca="false">E63/$I63</f>
        <v>#DIV/0!</v>
      </c>
      <c r="G63" s="229" t="n">
        <f aca="false">SUM(G62,G45,G35,G31,G26,G22,G18,G16,G11)</f>
        <v>0</v>
      </c>
      <c r="H63" s="239" t="e">
        <f aca="false">G63/$I63</f>
        <v>#DIV/0!</v>
      </c>
      <c r="I63" s="229" t="n">
        <f aca="false">SUM(I62,I45,I35,I31,I26,I22,I18,I16,I11)</f>
        <v>0</v>
      </c>
      <c r="J63" s="239" t="e">
        <f aca="false">I63/$I63</f>
        <v>#DIV/0!</v>
      </c>
    </row>
    <row r="70" customFormat="false" ht="15" hidden="false" customHeight="false" outlineLevel="0" collapsed="false">
      <c r="A70" s="226" t="s">
        <v>451</v>
      </c>
      <c r="B70" s="226"/>
    </row>
    <row r="71" customFormat="false" ht="15" hidden="false" customHeight="false" outlineLevel="0" collapsed="false">
      <c r="A71" s="226" t="s">
        <v>1</v>
      </c>
      <c r="B71" s="181" t="s">
        <v>450</v>
      </c>
      <c r="C71" s="181"/>
      <c r="D71" s="181"/>
      <c r="E71" s="181"/>
      <c r="F71" s="181"/>
      <c r="G71" s="181"/>
    </row>
    <row r="72" customFormat="false" ht="15" hidden="false" customHeight="true" outlineLevel="0" collapsed="false">
      <c r="A72" s="133" t="s">
        <v>2</v>
      </c>
      <c r="B72" s="107" t="s">
        <v>452</v>
      </c>
      <c r="C72" s="107"/>
      <c r="D72" s="23" t="s">
        <v>453</v>
      </c>
      <c r="E72" s="23"/>
      <c r="F72" s="23" t="s">
        <v>454</v>
      </c>
      <c r="G72" s="23"/>
      <c r="H72" s="133" t="s">
        <v>80</v>
      </c>
    </row>
    <row r="73" customFormat="false" ht="15" hidden="false" customHeight="false" outlineLevel="0" collapsed="false">
      <c r="A73" s="139"/>
      <c r="B73" s="118" t="s">
        <v>254</v>
      </c>
      <c r="C73" s="27" t="s">
        <v>255</v>
      </c>
      <c r="D73" s="27" t="s">
        <v>254</v>
      </c>
      <c r="E73" s="27" t="s">
        <v>255</v>
      </c>
      <c r="F73" s="27" t="s">
        <v>254</v>
      </c>
      <c r="G73" s="115" t="s">
        <v>255</v>
      </c>
      <c r="H73" s="139"/>
    </row>
    <row r="74" customFormat="false" ht="15" hidden="false" customHeight="false" outlineLevel="0" collapsed="false">
      <c r="A74" s="82" t="s">
        <v>81</v>
      </c>
      <c r="B74" s="25" t="n">
        <f aca="false">COUNTIFS([1]SurveyDATA!KX$1:KX$1048576,"Y",[1]SurveyDATA!KI$1:KI$1048576,"*RELOCATION*",[1]SurveyDATA!VX$1:VX$1048576,"*SAMPLING*",[1]SurveyDATA!E$1:E$1048576,"*MALOLOS*",[1]SurveyDATA!JR$1:JR$1048576,"*NEED*")</f>
        <v>0</v>
      </c>
      <c r="C74" s="221" t="e">
        <f aca="false">B74/B83</f>
        <v>#DIV/0!</v>
      </c>
      <c r="D74" s="25" t="n">
        <f aca="false">COUNTIFS([1]SurveyDATA!KX$1:KX$1048576,"No",[1]SurveyDATA!KI$1:KI$1048576,"*CASH*",[1]SurveyDATA!VX$1:VX$1048576,"*SAMPLING*",[1]SurveyDATA!E$1:E$1048576,"*MALOLOS*")</f>
        <v>0</v>
      </c>
      <c r="E74" s="221" t="e">
        <f aca="false">D74/D83</f>
        <v>#DIV/0!</v>
      </c>
      <c r="F74" s="25" t="n">
        <f aca="false">COUNTIFS([1]SurveyDATA!KX$1:KX$1048576,"",[1]SurveyDATA!KI$1:KI$1048576,"*NO*",[1]SurveyDATA!VX$1:VX$1048576,"*SAMPLING*",[1]SurveyDATA!E$1:E$1048576,"*MALOLOS*",[1]SurveyDATA!JR$1:JR$1048576,"*NEED*")</f>
        <v>0</v>
      </c>
      <c r="G74" s="221" t="e">
        <f aca="false">F74/F83</f>
        <v>#DIV/0!</v>
      </c>
      <c r="H74" s="82" t="n">
        <f aca="false">SUM(F74,D74,B74)</f>
        <v>0</v>
      </c>
    </row>
    <row r="75" customFormat="false" ht="15" hidden="false" customHeight="false" outlineLevel="0" collapsed="false">
      <c r="A75" s="25" t="s">
        <v>82</v>
      </c>
      <c r="B75" s="25" t="n">
        <f aca="false">COUNTIFS([1]SurveyDATA!KX$1:KX$1048576,"Y",[1]SurveyDATA!KI$1:KI$1048576,"*RELOCATION*",[1]SurveyDATA!VX$1:VX$1048576,"*SAMPLING*",[1]SurveyDATA!E$1:E$1048576,"*GUIGUINTO*",[1]SurveyDATA!JR$1:JR$1048576,"*NEED*")</f>
        <v>0</v>
      </c>
      <c r="C75" s="221" t="e">
        <f aca="false">B75/B83</f>
        <v>#DIV/0!</v>
      </c>
      <c r="D75" s="25" t="n">
        <f aca="false">COUNTIFS([1]SurveyDATA!KX$1:KX$1048576,"No",[1]SurveyDATA!KI$1:KI$1048576,"*CASH*",[1]SurveyDATA!VX$1:VX$1048576,"*SAMPLING*",[1]SurveyDATA!E$1:E$1048576,"*GUIGUINTO*")</f>
        <v>0</v>
      </c>
      <c r="E75" s="221" t="e">
        <f aca="false">D75/D83</f>
        <v>#DIV/0!</v>
      </c>
      <c r="F75" s="25" t="n">
        <f aca="false">COUNTIFS([1]SurveyDATA!KX$1:KX$1048576,"",[1]SurveyDATA!KI$1:KI$1048576,"*NO*",[1]SurveyDATA!VX$1:VX$1048576,"*SAMPLING*",[1]SurveyDATA!E$1:E$1048576,"*GUIGUINTO*",[1]SurveyDATA!JR$1:JR$1048576,"*NEED*")</f>
        <v>0</v>
      </c>
      <c r="G75" s="221" t="e">
        <f aca="false">F75/F83</f>
        <v>#DIV/0!</v>
      </c>
      <c r="H75" s="25" t="n">
        <f aca="false">SUM(F75,D75,B75)</f>
        <v>0</v>
      </c>
    </row>
    <row r="76" customFormat="false" ht="15" hidden="false" customHeight="false" outlineLevel="0" collapsed="false">
      <c r="A76" s="25" t="s">
        <v>83</v>
      </c>
      <c r="B76" s="25" t="n">
        <f aca="false">COUNTIFS([1]SurveyDATA!KX$1:KX$1048576,"Y",[1]SurveyDATA!KI$1:KI$1048576,"*RELOCATION*",[1]SurveyDATA!VX$1:VX$1048576,"*SAMPLING*",[1]SurveyDATA!E$1:E$1048576,"*BALAGTAS*",[1]SurveyDATA!JR$1:JR$1048576,"*NEED*")</f>
        <v>0</v>
      </c>
      <c r="C76" s="221" t="e">
        <f aca="false">B76/B83</f>
        <v>#DIV/0!</v>
      </c>
      <c r="D76" s="25" t="n">
        <f aca="false">COUNTIFS([1]SurveyDATA!KX$1:KX$1048576,"No",[1]SurveyDATA!KI$1:KI$1048576,"*CASH*",[1]SurveyDATA!VX$1:VX$1048576,"*SAMPLING*",[1]SurveyDATA!E$1:E$1048576,"*BALAGTAS*")</f>
        <v>0</v>
      </c>
      <c r="E76" s="221" t="e">
        <f aca="false">D76/D83</f>
        <v>#DIV/0!</v>
      </c>
      <c r="F76" s="25" t="n">
        <f aca="false">COUNTIFS([1]SurveyDATA!KX$1:KX$1048576,"",[1]SurveyDATA!KI$1:KI$1048576,"*NO*",[1]SurveyDATA!VX$1:VX$1048576,"*SAMPLING*",[1]SurveyDATA!E$1:E$1048576,"*BALAGTAS*",[1]SurveyDATA!JR$1:JR$1048576,"*NEED*")</f>
        <v>0</v>
      </c>
      <c r="G76" s="221" t="e">
        <f aca="false">F76/F83</f>
        <v>#DIV/0!</v>
      </c>
      <c r="H76" s="25" t="n">
        <f aca="false">SUM(F76,D76,B76)</f>
        <v>0</v>
      </c>
    </row>
    <row r="77" customFormat="false" ht="15" hidden="false" customHeight="false" outlineLevel="0" collapsed="false">
      <c r="A77" s="25" t="s">
        <v>84</v>
      </c>
      <c r="B77" s="25" t="n">
        <f aca="false">COUNTIFS([1]SurveyDATA!KX$1:KX$1048576,"Y",[1]SurveyDATA!KI$1:KI$1048576,"*RELOCATION*",[1]SurveyDATA!VX$1:VX$1048576,"*SAMPLING*",[1]SurveyDATA!E$1:E$1048576,"*BOCAUE*",[1]SurveyDATA!JR$1:JR$1048576,"*NEED*")</f>
        <v>0</v>
      </c>
      <c r="C77" s="221" t="e">
        <f aca="false">B77/B83</f>
        <v>#DIV/0!</v>
      </c>
      <c r="D77" s="25" t="n">
        <f aca="false">COUNTIFS([1]SurveyDATA!KX$1:KX$1048576,"No",[1]SurveyDATA!KI$1:KI$1048576,"*CASH*",[1]SurveyDATA!VX$1:VX$1048576,"*SAMPLING*",[1]SurveyDATA!E$1:E$1048576,"*BOCAUE*")</f>
        <v>0</v>
      </c>
      <c r="E77" s="221" t="e">
        <f aca="false">D77/D83</f>
        <v>#DIV/0!</v>
      </c>
      <c r="F77" s="25" t="n">
        <f aca="false">COUNTIFS([1]SurveyDATA!KX$1:KX$1048576,"",[1]SurveyDATA!KI$1:KI$1048576,"*NO*",[1]SurveyDATA!VX$1:VX$1048576,"*SAMPLING*",[1]SurveyDATA!E$1:E$1048576,"*BOCAUE*",[1]SurveyDATA!JR$1:JR$1048576,"*NEED*")</f>
        <v>0</v>
      </c>
      <c r="G77" s="221" t="e">
        <f aca="false">F77/F83</f>
        <v>#DIV/0!</v>
      </c>
      <c r="H77" s="25" t="n">
        <f aca="false">SUM(F77,D77,B77)</f>
        <v>0</v>
      </c>
    </row>
    <row r="78" customFormat="false" ht="15" hidden="false" customHeight="false" outlineLevel="0" collapsed="false">
      <c r="A78" s="25" t="s">
        <v>85</v>
      </c>
      <c r="B78" s="25" t="n">
        <f aca="false">COUNTIFS([1]SurveyDATA!KX$1:KX$1048576,"Y",[1]SurveyDATA!KI$1:KI$1048576,"*RELOCATION*",[1]SurveyDATA!VX$1:VX$1048576,"*SAMPLING*",[1]SurveyDATA!E$1:E$1048576,"*MARILAO*",[1]SurveyDATA!JR$1:JR$1048576,"*NEED*")</f>
        <v>0</v>
      </c>
      <c r="C78" s="221" t="e">
        <f aca="false">B78/B83</f>
        <v>#DIV/0!</v>
      </c>
      <c r="D78" s="25" t="n">
        <f aca="false">COUNTIFS([1]SurveyDATA!KX$1:KX$1048576,"No",[1]SurveyDATA!KI$1:KI$1048576,"*CASH*",[1]SurveyDATA!VX$1:VX$1048576,"*SAMPLING*",[1]SurveyDATA!E$1:E$1048576,"*MARILAO*")</f>
        <v>0</v>
      </c>
      <c r="E78" s="221" t="e">
        <f aca="false">D78/D83</f>
        <v>#DIV/0!</v>
      </c>
      <c r="F78" s="25" t="n">
        <f aca="false">COUNTIFS([1]SurveyDATA!KX$1:KX$1048576,"",[1]SurveyDATA!KI$1:KI$1048576,"*NO*",[1]SurveyDATA!VX$1:VX$1048576,"*SAMPLING*",[1]SurveyDATA!E$1:E$1048576,"*MARILAO*",[1]SurveyDATA!JR$1:JR$1048576,"*NEED*")</f>
        <v>0</v>
      </c>
      <c r="G78" s="221" t="e">
        <f aca="false">F78/F83</f>
        <v>#DIV/0!</v>
      </c>
      <c r="H78" s="25" t="n">
        <f aca="false">SUM(F78,D78,B78)</f>
        <v>0</v>
      </c>
    </row>
    <row r="79" customFormat="false" ht="15" hidden="false" customHeight="false" outlineLevel="0" collapsed="false">
      <c r="A79" s="25" t="s">
        <v>86</v>
      </c>
      <c r="B79" s="25" t="n">
        <f aca="false">COUNTIFS([1]SurveyDATA!KX$1:KX$1048576,"Y",[1]SurveyDATA!KI$1:KI$1048576,"*RELOCATION*",[1]SurveyDATA!VX$1:VX$1048576,"*SAMPLING*",[1]SurveyDATA!E$1:E$1048576,"*MEYCAUAYAN*",[1]SurveyDATA!JR$1:JR$1048576,"*NEED*")</f>
        <v>0</v>
      </c>
      <c r="C79" s="221" t="e">
        <f aca="false">B79/B83</f>
        <v>#DIV/0!</v>
      </c>
      <c r="D79" s="25" t="n">
        <f aca="false">COUNTIFS([1]SurveyDATA!KX$1:KX$1048576,"No",[1]SurveyDATA!KI$1:KI$1048576,"*CASH*",[1]SurveyDATA!VX$1:VX$1048576,"*SAMPLING*",[1]SurveyDATA!E$1:E$1048576,"*MEYCAUAYAN*")</f>
        <v>0</v>
      </c>
      <c r="E79" s="221" t="e">
        <f aca="false">D79/D83</f>
        <v>#DIV/0!</v>
      </c>
      <c r="F79" s="25" t="n">
        <f aca="false">COUNTIFS([1]SurveyDATA!KX$1:KX$1048576,"",[1]SurveyDATA!KI$1:KI$1048576,"*NO*",[1]SurveyDATA!VX$1:VX$1048576,"*SAMPLING*",[1]SurveyDATA!E$1:E$1048576,"*MEYCAUAYAN*",[1]SurveyDATA!JR$1:JR$1048576,"*NEED*")</f>
        <v>0</v>
      </c>
      <c r="G79" s="221" t="e">
        <f aca="false">F79/F83</f>
        <v>#DIV/0!</v>
      </c>
      <c r="H79" s="25" t="n">
        <f aca="false">SUM(F79,D79,B79)</f>
        <v>0</v>
      </c>
    </row>
    <row r="80" customFormat="false" ht="15" hidden="false" customHeight="false" outlineLevel="0" collapsed="false">
      <c r="A80" s="25" t="s">
        <v>87</v>
      </c>
      <c r="B80" s="25" t="n">
        <f aca="false">COUNTIFS([1]SurveyDATA!KX$1:KX$1048576,"Y",[1]SurveyDATA!KI$1:KI$1048576,"*RELOCATION*",[1]SurveyDATA!VX$1:VX$1048576,"*SAMPLING*",[1]SurveyDATA!E$1:E$1048576,"*VALENZUELA*",[1]SurveyDATA!JR$1:JR$1048576,"*NEED*")</f>
        <v>0</v>
      </c>
      <c r="C80" s="221" t="e">
        <f aca="false">B80/B83</f>
        <v>#DIV/0!</v>
      </c>
      <c r="D80" s="25" t="n">
        <f aca="false">COUNTIFS([1]SurveyDATA!KX$1:KX$1048576,"No",[1]SurveyDATA!KI$1:KI$1048576,"*CASH*",[1]SurveyDATA!VX$1:VX$1048576,"*SAMPLING*",[1]SurveyDATA!E$1:E$1048576,"*VALENZUELA*")</f>
        <v>0</v>
      </c>
      <c r="E80" s="221" t="e">
        <f aca="false">D80/D83</f>
        <v>#DIV/0!</v>
      </c>
      <c r="F80" s="25" t="n">
        <f aca="false">COUNTIFS([1]SurveyDATA!KX$1:KX$1048576,"",[1]SurveyDATA!KI$1:KI$1048576,"*NO*",[1]SurveyDATA!VX$1:VX$1048576,"*SAMPLING*",[1]SurveyDATA!E$1:E$1048576,"*VALENZUELA*",[1]SurveyDATA!JR$1:JR$1048576,"*NEED*")</f>
        <v>0</v>
      </c>
      <c r="G80" s="221" t="e">
        <f aca="false">F80/F83</f>
        <v>#DIV/0!</v>
      </c>
      <c r="H80" s="25" t="n">
        <f aca="false">SUM(F80,D80,B80)</f>
        <v>0</v>
      </c>
    </row>
    <row r="81" customFormat="false" ht="15" hidden="false" customHeight="false" outlineLevel="0" collapsed="false">
      <c r="A81" s="25" t="s">
        <v>90</v>
      </c>
      <c r="B81" s="25" t="n">
        <f aca="false">COUNTIFS([1]SurveyDATA!KX$1:KX$1048576,"Y",[1]SurveyDATA!KI$1:KI$1048576,"*RELOCATION*",[1]SurveyDATA!VX$1:VX$1048576,"*SAMPLING*",[1]SurveyDATA!E$1:E$1048576,"*CALOOCAN*",[1]SurveyDATA!JR$1:JR$1048576,"*NEED*")</f>
        <v>0</v>
      </c>
      <c r="C81" s="221" t="e">
        <f aca="false">B81/B83</f>
        <v>#DIV/0!</v>
      </c>
      <c r="D81" s="25" t="n">
        <f aca="false">COUNTIFS([1]SurveyDATA!KX$1:KX$1048576,"No",[1]SurveyDATA!KI$1:KI$1048576,"*CASH*",[1]SurveyDATA!VX$1:VX$1048576,"*SAMPLING*",[1]SurveyDATA!E$1:E$1048576,"*CALOOCAN*")</f>
        <v>0</v>
      </c>
      <c r="E81" s="221" t="e">
        <f aca="false">D81/D83</f>
        <v>#DIV/0!</v>
      </c>
      <c r="F81" s="25" t="n">
        <f aca="false">COUNTIFS([1]SurveyDATA!KX$1:KX$1048576,"",[1]SurveyDATA!KI$1:KI$1048576,"*NO*",[1]SurveyDATA!VX$1:VX$1048576,"*SAMPLING*",[1]SurveyDATA!E$1:E$1048576,"*CALOOCAN*",[1]SurveyDATA!JR$1:JR$1048576,"*NEED*")</f>
        <v>0</v>
      </c>
      <c r="G81" s="221" t="e">
        <f aca="false">F81/F83</f>
        <v>#DIV/0!</v>
      </c>
      <c r="H81" s="25" t="n">
        <f aca="false">SUM(F81,D81,B81)</f>
        <v>0</v>
      </c>
    </row>
    <row r="82" customFormat="false" ht="15" hidden="false" customHeight="false" outlineLevel="0" collapsed="false">
      <c r="A82" s="25" t="s">
        <v>100</v>
      </c>
      <c r="B82" s="25" t="n">
        <f aca="false">COUNTIFS([1]SurveyDATA!KX$1:KX$1048576,"Y",[1]SurveyDATA!KI$1:KI$1048576,"*RELOCATION*",[1]SurveyDATA!VX$1:VX$1048576,"*SAMPLING*",[1]SurveyDATA!E$1:E$1048576,"*MANILA*",[1]SurveyDATA!JR$1:JR$1048576,"*NEED*")</f>
        <v>0</v>
      </c>
      <c r="C82" s="221" t="e">
        <f aca="false">B82/B83</f>
        <v>#DIV/0!</v>
      </c>
      <c r="D82" s="25" t="n">
        <f aca="false">COUNTIFS([1]SurveyDATA!KX$1:KX$1048576,"No",[1]SurveyDATA!KI$1:KI$1048576,"*CASH*",[1]SurveyDATA!VX$1:VX$1048576,"*SAMPLING*",[1]SurveyDATA!E$1:E$1048576,"*MANILA*")</f>
        <v>0</v>
      </c>
      <c r="E82" s="221" t="e">
        <f aca="false">D82/D83</f>
        <v>#DIV/0!</v>
      </c>
      <c r="F82" s="25" t="n">
        <f aca="false">COUNTIFS([1]SurveyDATA!KX$1:KX$1048576,"",[1]SurveyDATA!KI$1:KI$1048576,"*NO*",[1]SurveyDATA!VX$1:VX$1048576,"*SAMPLING*",[1]SurveyDATA!E$1:E$1048576,"*MANILA*",[1]SurveyDATA!JR$1:JR$1048576,"*NEED*")</f>
        <v>0</v>
      </c>
      <c r="G82" s="221" t="e">
        <f aca="false">F82/F83</f>
        <v>#DIV/0!</v>
      </c>
      <c r="H82" s="25" t="n">
        <f aca="false">SUM(F82,D82,B82)</f>
        <v>0</v>
      </c>
    </row>
    <row r="83" customFormat="false" ht="15" hidden="false" customHeight="false" outlineLevel="0" collapsed="false">
      <c r="A83" s="240" t="s">
        <v>12</v>
      </c>
      <c r="B83" s="26" t="n">
        <f aca="false">SUM(B74:B82)</f>
        <v>0</v>
      </c>
      <c r="C83" s="225" t="e">
        <f aca="false">B83/H83</f>
        <v>#DIV/0!</v>
      </c>
      <c r="D83" s="26" t="n">
        <f aca="false">SUM(D74:D82)</f>
        <v>0</v>
      </c>
      <c r="E83" s="165" t="e">
        <f aca="false">D83/H83</f>
        <v>#DIV/0!</v>
      </c>
      <c r="F83" s="26" t="n">
        <f aca="false">SUM(F74:F82)</f>
        <v>0</v>
      </c>
      <c r="G83" s="165" t="e">
        <f aca="false">F83/H83</f>
        <v>#DIV/0!</v>
      </c>
      <c r="H83" s="26" t="n">
        <f aca="false">SUM(H74:H82)</f>
        <v>0</v>
      </c>
    </row>
    <row r="88" customFormat="false" ht="15" hidden="false" customHeight="false" outlineLevel="0" collapsed="false">
      <c r="A88" s="0" t="s">
        <v>455</v>
      </c>
    </row>
  </sheetData>
  <mergeCells count="11">
    <mergeCell ref="C4:H4"/>
    <mergeCell ref="A5:A6"/>
    <mergeCell ref="B5:B6"/>
    <mergeCell ref="C5:D5"/>
    <mergeCell ref="E5:F5"/>
    <mergeCell ref="G5:H5"/>
    <mergeCell ref="I5:J5"/>
    <mergeCell ref="B71:G71"/>
    <mergeCell ref="B72:C72"/>
    <mergeCell ref="D72:E72"/>
    <mergeCell ref="F72:G7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5" activeCellId="0" sqref="H25"/>
    </sheetView>
  </sheetViews>
  <sheetFormatPr defaultRowHeight="15" outlineLevelRow="0" outlineLevelCol="0"/>
  <cols>
    <col collapsed="false" customWidth="true" hidden="false" outlineLevel="0" max="1" min="1" style="0" width="24"/>
    <col collapsed="false" customWidth="true" hidden="false" outlineLevel="0" max="2" min="2" style="0" width="22.01"/>
    <col collapsed="false" customWidth="true" hidden="false" outlineLevel="0" max="1025" min="3" style="0" width="8.67"/>
  </cols>
  <sheetData>
    <row r="1" customFormat="false" ht="15" hidden="false" customHeight="false" outlineLevel="0" collapsed="false">
      <c r="A1" s="226" t="s">
        <v>456</v>
      </c>
    </row>
    <row r="2" customFormat="false" ht="15" hidden="false" customHeight="false" outlineLevel="0" collapsed="false">
      <c r="A2" s="226"/>
      <c r="B2" s="0" t="s">
        <v>1</v>
      </c>
      <c r="C2" s="181" t="s">
        <v>457</v>
      </c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</row>
    <row r="3" customFormat="false" ht="15" hidden="false" customHeight="true" outlineLevel="0" collapsed="false">
      <c r="A3" s="133"/>
      <c r="B3" s="87"/>
      <c r="C3" s="23" t="s">
        <v>458</v>
      </c>
      <c r="D3" s="23"/>
      <c r="E3" s="23" t="s">
        <v>459</v>
      </c>
      <c r="F3" s="23"/>
      <c r="G3" s="23" t="s">
        <v>460</v>
      </c>
      <c r="H3" s="23"/>
      <c r="I3" s="23" t="s">
        <v>461</v>
      </c>
      <c r="J3" s="23"/>
      <c r="K3" s="23" t="s">
        <v>462</v>
      </c>
      <c r="L3" s="23"/>
      <c r="M3" s="23" t="s">
        <v>463</v>
      </c>
      <c r="N3" s="23"/>
      <c r="O3" s="132"/>
      <c r="P3" s="23" t="s">
        <v>12</v>
      </c>
      <c r="Q3" s="23"/>
    </row>
    <row r="4" customFormat="false" ht="15" hidden="false" customHeight="false" outlineLevel="0" collapsed="false">
      <c r="A4" s="138" t="s">
        <v>2</v>
      </c>
      <c r="B4" s="135" t="s">
        <v>121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132" t="s">
        <v>464</v>
      </c>
      <c r="P4" s="23"/>
      <c r="Q4" s="23"/>
    </row>
    <row r="5" customFormat="false" ht="15" hidden="false" customHeight="false" outlineLevel="0" collapsed="false">
      <c r="A5" s="139"/>
      <c r="B5" s="89"/>
      <c r="C5" s="107" t="s">
        <v>254</v>
      </c>
      <c r="D5" s="23" t="s">
        <v>255</v>
      </c>
      <c r="E5" s="241" t="s">
        <v>254</v>
      </c>
      <c r="F5" s="23" t="s">
        <v>255</v>
      </c>
      <c r="G5" s="107" t="s">
        <v>254</v>
      </c>
      <c r="H5" s="23" t="s">
        <v>255</v>
      </c>
      <c r="I5" s="23" t="s">
        <v>254</v>
      </c>
      <c r="J5" s="23" t="s">
        <v>255</v>
      </c>
      <c r="K5" s="23" t="s">
        <v>254</v>
      </c>
      <c r="L5" s="23" t="s">
        <v>255</v>
      </c>
      <c r="M5" s="23" t="s">
        <v>254</v>
      </c>
      <c r="N5" s="23" t="s">
        <v>255</v>
      </c>
      <c r="O5" s="23" t="s">
        <v>254</v>
      </c>
      <c r="P5" s="23" t="s">
        <v>254</v>
      </c>
      <c r="Q5" s="23" t="s">
        <v>255</v>
      </c>
    </row>
    <row r="6" customFormat="false" ht="15.75" hidden="false" customHeight="false" outlineLevel="0" collapsed="false">
      <c r="A6" s="174" t="s">
        <v>17</v>
      </c>
      <c r="B6" s="227" t="s">
        <v>18</v>
      </c>
      <c r="C6" s="82" t="n">
        <f aca="false">COUNTIFS([1]SurveyDATA!KX$1:KX$1048576,"Y",[1]SurveyDATA!KI$1:KI$1048576,"*RELOCATION*",[1]SurveyDATA!VX$1:VX$1048576,"*SAMPLING*",[1]SurveyDATA!E$1:E$1048576,"*TIKAY*",[1]SurveyDATA!JR$1:JR$1048576,"*NEED*",[1]SurveyDATA!KL$1:KL$1048576,"*CAVITE*")</f>
        <v>0</v>
      </c>
      <c r="D6" s="242" t="n">
        <v>0</v>
      </c>
      <c r="E6" s="243" t="n">
        <f aca="false">COUNTIFS([1]SurveyDATA!KV$1:KV$1048576,"Y",[1]SurveyDATA!KG$1:KG$1048576,"*RELOCATION*",[1]SurveyDATA!VV$1:VV$1048576,"*SAMPLING*",[1]SurveyDATA!C$1:C$1048576,"*TIKAY*",[1]SurveyDATA!JP$1:JP$1048576,"*NEED*",[1]SurveyDATA!KJ$1:KJ$1048576,"*DISIPLINA*")</f>
        <v>0</v>
      </c>
      <c r="F6" s="242" t="n">
        <v>0</v>
      </c>
      <c r="G6" s="25" t="n">
        <f aca="false">COUNTIFS([1]SurveyDATA!KX$1:KX$1048576,"Y",[1]SurveyDATA!KI$1:KI$1048576,"*RELOCATION*",[1]SurveyDATA!VX$1:VX$1048576,"*SAMPLING*",[1]SurveyDATA!E$1:E$1048576,"*TIKAY*",[1]SurveyDATA!JR$1:JR$1048576,"*NEED*",[1]SurveyDATA!KL$1:KL$1048576,"*BOCAUE*")</f>
        <v>0</v>
      </c>
      <c r="H6" s="221" t="e">
        <f aca="false">G6/G10</f>
        <v>#DIV/0!</v>
      </c>
      <c r="I6" s="25" t="n">
        <f aca="false">COUNTIFS([1]SurveyDATA!KX$1:KX$1048576,"Y",[1]SurveyDATA!KI$1:KI$1048576,"*RELOCATION*",[1]SurveyDATA!VX$1:VX$1048576,"*SAMPLING*",[1]SurveyDATA!E$1:E$1048576,"*TIKAY*",[1]SurveyDATA!JR$1:JR$1048576,"*NEED*",[1]SurveyDATA!KL$1:KL$1048576,"*GUIGUINTO*")</f>
        <v>0</v>
      </c>
      <c r="J6" s="221" t="n">
        <v>0</v>
      </c>
      <c r="K6" s="25" t="n">
        <f aca="false">COUNTIFS([1]SurveyDATA!KX$1:KX$1048576,"Y",[1]SurveyDATA!KI$1:KI$1048576,"*RELOCATION*",[1]SurveyDATA!VX$1:VX$1048576,"*SAMPLING*",[1]SurveyDATA!E$1:E$1048576,"*TIKAY*",[1]SurveyDATA!JR$1:JR$1048576,"*NEED*",[1]SurveyDATA!KL$1:KL$1048576,"*PANDI*")</f>
        <v>0</v>
      </c>
      <c r="L6" s="221" t="n">
        <v>0</v>
      </c>
      <c r="M6" s="244" t="n">
        <f aca="false">COUNTIFS([1]SurveyDATA!KX$1:KX$1048576,"Y",[1]SurveyDATA!KI$1:KI$1048576,"*RELOCATION*",[1]SurveyDATA!VX$1:VX$1048576,"*SAMPLING*",[1]SurveyDATA!E$1:E$1048576,"*TIKAY*",[1]SurveyDATA!JR$1:JR$1048576,"*NEED*",[1]SurveyDATA!KL$1:KL$1048576,"*SJDM*")</f>
        <v>0</v>
      </c>
      <c r="N6" s="221" t="n">
        <v>0</v>
      </c>
      <c r="O6" s="244" t="n">
        <f aca="false">COUNTIFS([1]SurveyDATA!KX$1:KX$1048576,"Y",[1]SurveyDATA!KI$1:KI$1048576,"*RELOCATION*",[1]SurveyDATA!VX$1:VX$1048576,"*SAMPLING*",[1]SurveyDATA!E$1:E$1048576,"*TIKAY*",[1]SurveyDATA!JR$1:JR$1048576,"*NEED*",[1]SurveyDATA!KL$1:KL$1048576,"")</f>
        <v>0</v>
      </c>
      <c r="P6" s="245" t="n">
        <f aca="false">SUM(M6,K6,I6,G6,E6,C6)</f>
        <v>0</v>
      </c>
      <c r="Q6" s="26" t="e">
        <f aca="false">P6/P$95</f>
        <v>#DIV/0!</v>
      </c>
    </row>
    <row r="7" customFormat="false" ht="15.75" hidden="false" customHeight="false" outlineLevel="0" collapsed="false">
      <c r="A7" s="229"/>
      <c r="B7" s="227" t="s">
        <v>19</v>
      </c>
      <c r="C7" s="82" t="n">
        <f aca="false">COUNTIFS([1]SurveyDATA!KX$1:KX$1048576,"Y",[1]SurveyDATA!KI$1:KI$1048576,"*RELOCATION*",[1]SurveyDATA!VX$1:VX$1048576,"*SAMPLING*",[1]SurveyDATA!E$1:E$1048576,"*BULIHAN*",[1]SurveyDATA!JR$1:JR$1048576,"*NEED*",[1]SurveyDATA!KL$1:KL$1048576,"*CAVITE*")</f>
        <v>0</v>
      </c>
      <c r="D7" s="242" t="n">
        <v>0</v>
      </c>
      <c r="E7" s="243" t="n">
        <f aca="false">COUNTIFS([1]SurveyDATA!KV$1:KV$1048576,"Y",[1]SurveyDATA!KG$1:KG$1048576,"*RELOCATION*",[1]SurveyDATA!VV$1:VV$1048576,"*SAMPLING*",[1]SurveyDATA!C$1:C$1048576,"*BULIHAN*",[1]SurveyDATA!JP$1:JP$1048576,"*NEED*",[1]SurveyDATA!KJ$1:KJ$1048576,"*DISIPLINA*")</f>
        <v>0</v>
      </c>
      <c r="F7" s="242" t="n">
        <v>0</v>
      </c>
      <c r="G7" s="25" t="n">
        <f aca="false">COUNTIFS([1]SurveyDATA!KX$1:KX$1048576,"Y",[1]SurveyDATA!KI$1:KI$1048576,"*RELOCATION*",[1]SurveyDATA!VX$1:VX$1048576,"*SAMPLING*",[1]SurveyDATA!E$1:E$1048576,"*BULIHAN*",[1]SurveyDATA!JR$1:JR$1048576,"*NEED*",[1]SurveyDATA!KL$1:KL$1048576,"*BOCAUE*")</f>
        <v>0</v>
      </c>
      <c r="H7" s="221" t="e">
        <f aca="false">G7/G59</f>
        <v>#DIV/0!</v>
      </c>
      <c r="I7" s="25" t="n">
        <f aca="false">COUNTIFS([1]SurveyDATA!KX$1:KX$1048576,"Y",[1]SurveyDATA!KI$1:KI$1048576,"*RELOCATION*",[1]SurveyDATA!VX$1:VX$1048576,"*SAMPLING*",[1]SurveyDATA!E$1:E$1048576,"*BULIHAN*",[1]SurveyDATA!JR$1:JR$1048576,"*NEED*",[1]SurveyDATA!KL$1:KL$1048576,"*GUIGUINTO*")</f>
        <v>0</v>
      </c>
      <c r="J7" s="221" t="n">
        <v>0</v>
      </c>
      <c r="K7" s="25" t="n">
        <f aca="false">COUNTIFS([1]SurveyDATA!KX$1:KX$1048576,"Y",[1]SurveyDATA!KI$1:KI$1048576,"*RELOCATION*",[1]SurveyDATA!VX$1:VX$1048576,"*SAMPLING*",[1]SurveyDATA!E$1:E$1048576,"*BULIHAN*",[1]SurveyDATA!JR$1:JR$1048576,"*NEED*",[1]SurveyDATA!KL$1:KL$1048576,"*PANDI*")</f>
        <v>0</v>
      </c>
      <c r="L7" s="221" t="n">
        <v>0</v>
      </c>
      <c r="M7" s="244" t="n">
        <f aca="false">COUNTIFS([1]SurveyDATA!KX$1:KX$1048576,"Y",[1]SurveyDATA!KI$1:KI$1048576,"*RELOCATION*",[1]SurveyDATA!VX$1:VX$1048576,"*SAMPLING*",[1]SurveyDATA!E$1:E$1048576,"*BULIHAN*",[1]SurveyDATA!JR$1:JR$1048576,"*NEED*",[1]SurveyDATA!KL$1:KL$1048576,"*SJDM*")</f>
        <v>0</v>
      </c>
      <c r="N7" s="221" t="n">
        <v>0</v>
      </c>
      <c r="O7" s="244" t="n">
        <f aca="false">COUNTIFS([1]SurveyDATA!KX$1:KX$1048576,"Y",[1]SurveyDATA!KI$1:KI$1048576,"*RELOCATION*",[1]SurveyDATA!VX$1:VX$1048576,"*SAMPLING*",[1]SurveyDATA!E$1:E$1048576,"*BULIHAN*",[1]SurveyDATA!JR$1:JR$1048576,"*NEED*",[1]SurveyDATA!KL$1:KL$1048576,"")</f>
        <v>0</v>
      </c>
      <c r="P7" s="245" t="n">
        <f aca="false">SUM(M7,K7,I7,G7,E7,C7)</f>
        <v>0</v>
      </c>
      <c r="Q7" s="26" t="e">
        <f aca="false">P7/P$95</f>
        <v>#DIV/0!</v>
      </c>
    </row>
    <row r="8" customFormat="false" ht="15.75" hidden="false" customHeight="false" outlineLevel="0" collapsed="false">
      <c r="A8" s="229"/>
      <c r="B8" s="227" t="s">
        <v>20</v>
      </c>
      <c r="C8" s="82" t="n">
        <f aca="false">COUNTIFS([1]SurveyDATA!KX$1:KX$1048576,"Y",[1]SurveyDATA!KI$1:KI$1048576,"*RELOCATION*",[1]SurveyDATA!VX$1:VX$1048576,"*SAMPLING*",[1]SurveyDATA!E$1:E$1048576,"*PABLO*",[1]SurveyDATA!JR$1:JR$1048576,"*NEED*",[1]SurveyDATA!KL$1:KL$1048576,"*CAVITE*")</f>
        <v>0</v>
      </c>
      <c r="D8" s="242" t="n">
        <v>0</v>
      </c>
      <c r="E8" s="243" t="n">
        <f aca="false">COUNTIFS([1]SurveyDATA!KV$1:KV$1048576,"Y",[1]SurveyDATA!KG$1:KG$1048576,"*RELOCATION*",[1]SurveyDATA!VV$1:VV$1048576,"*SAMPLING*",[1]SurveyDATA!C$1:C$1048576,"*PABLO*",[1]SurveyDATA!JP$1:JP$1048576,"*NEED*",[1]SurveyDATA!KJ$1:KJ$1048576,"*DISIPLINA*")</f>
        <v>0</v>
      </c>
      <c r="F8" s="242" t="n">
        <v>0</v>
      </c>
      <c r="G8" s="25" t="n">
        <f aca="false">COUNTIFS([1]SurveyDATA!KX$1:KX$1048576,"Y",[1]SurveyDATA!KI$1:KI$1048576,"*RELOCATION*",[1]SurveyDATA!VX$1:VX$1048576,"*SAMPLING*",[1]SurveyDATA!E$1:E$1048576,"*PABLO*",[1]SurveyDATA!JR$1:JR$1048576,"*NEED*",[1]SurveyDATA!KL$1:KL$1048576,"*BOCAUE*")</f>
        <v>0</v>
      </c>
      <c r="H8" s="221" t="e">
        <f aca="false">G8/G10</f>
        <v>#DIV/0!</v>
      </c>
      <c r="I8" s="25" t="n">
        <f aca="false">COUNTIFS([1]SurveyDATA!KX$1:KX$1048576,"Y",[1]SurveyDATA!KI$1:KI$1048576,"*RELOCATION*",[1]SurveyDATA!VX$1:VX$1048576,"*SAMPLING*",[1]SurveyDATA!E$1:E$1048576,"*PABLO*",[1]SurveyDATA!JR$1:JR$1048576,"*NEED*",[1]SurveyDATA!KL$1:KL$1048576,"*GUIGUINTO*")</f>
        <v>0</v>
      </c>
      <c r="J8" s="221" t="n">
        <v>0</v>
      </c>
      <c r="K8" s="25" t="n">
        <f aca="false">COUNTIFS([1]SurveyDATA!KX$1:KX$1048576,"Y",[1]SurveyDATA!KI$1:KI$1048576,"*RELOCATION*",[1]SurveyDATA!VX$1:VX$1048576,"*SAMPLING*",[1]SurveyDATA!E$1:E$1048576,"*PABLO*",[1]SurveyDATA!JR$1:JR$1048576,"*NEED*",[1]SurveyDATA!KL$1:KL$1048576,"*PANDI*")</f>
        <v>0</v>
      </c>
      <c r="L8" s="221" t="n">
        <v>0</v>
      </c>
      <c r="M8" s="244" t="n">
        <f aca="false">COUNTIFS([1]SurveyDATA!KX$1:KX$1048576,"Y",[1]SurveyDATA!KI$1:KI$1048576,"*RELOCATION*",[1]SurveyDATA!VX$1:VX$1048576,"*SAMPLING*",[1]SurveyDATA!E$1:E$1048576,"*PABLO*",[1]SurveyDATA!JR$1:JR$1048576,"*NEED*",[1]SurveyDATA!KL$1:KL$1048576,"*SJDM*")</f>
        <v>0</v>
      </c>
      <c r="N8" s="221" t="n">
        <v>0</v>
      </c>
      <c r="O8" s="244" t="n">
        <f aca="false">COUNTIFS([1]SurveyDATA!KX$1:KX$1048576,"Y",[1]SurveyDATA!KI$1:KI$1048576,"*RELOCATION*",[1]SurveyDATA!VX$1:VX$1048576,"*SAMPLING*",[1]SurveyDATA!E$1:E$1048576,"*PABLO*",[1]SurveyDATA!JR$1:JR$1048576,"*NEED*",[1]SurveyDATA!KL$1:KL$1048576,"")</f>
        <v>0</v>
      </c>
      <c r="P8" s="245" t="n">
        <f aca="false">SUM(M8,K8,I8,G8,E8,C8)</f>
        <v>0</v>
      </c>
      <c r="Q8" s="26" t="e">
        <f aca="false">P8/P$95</f>
        <v>#DIV/0!</v>
      </c>
    </row>
    <row r="9" customFormat="false" ht="15.75" hidden="false" customHeight="false" outlineLevel="0" collapsed="false">
      <c r="A9" s="229"/>
      <c r="B9" s="227" t="s">
        <v>21</v>
      </c>
      <c r="C9" s="82" t="n">
        <f aca="false">COUNTIFS([1]SurveyDATA!KX$1:KX$1048576,"Y",[1]SurveyDATA!KI$1:KI$1048576,"*RELOCATION*",[1]SurveyDATA!VX$1:VX$1048576,"*SAMPLING*",[1]SurveyDATA!E$1:E$1048576,"*CATMON*",[1]SurveyDATA!JR$1:JR$1048576,"*NEED*",[1]SurveyDATA!KL$1:KL$1048576,"*CAVITE*")</f>
        <v>0</v>
      </c>
      <c r="D9" s="242" t="n">
        <v>0</v>
      </c>
      <c r="E9" s="243" t="n">
        <f aca="false">COUNTIFS([1]SurveyDATA!KV$1:KV$1048576,"Y",[1]SurveyDATA!KG$1:KG$1048576,"*RELOCATION*",[1]SurveyDATA!VV$1:VV$1048576,"*SAMPLING*",[1]SurveyDATA!C$1:C$1048576,"*CATMON*",[1]SurveyDATA!JP$1:JP$1048576,"*NEED*",[1]SurveyDATA!KJ$1:KJ$1048576,"*DISIPLINA*")</f>
        <v>0</v>
      </c>
      <c r="F9" s="242" t="n">
        <v>0</v>
      </c>
      <c r="G9" s="25" t="n">
        <f aca="false">COUNTIFS([1]SurveyDATA!KX$1:KX$1048576,"Y",[1]SurveyDATA!KI$1:KI$1048576,"*RELOCATION*",[1]SurveyDATA!VX$1:VX$1048576,"*SAMPLING*",[1]SurveyDATA!E$1:E$1048576,"*CATMON*",[1]SurveyDATA!JR$1:JR$1048576,"*NEED*",[1]SurveyDATA!KL$1:KL$1048576,"*BOCAUE*")</f>
        <v>0</v>
      </c>
      <c r="H9" s="221" t="e">
        <f aca="false">G9/G10</f>
        <v>#DIV/0!</v>
      </c>
      <c r="I9" s="25" t="n">
        <f aca="false">COUNTIFS([1]SurveyDATA!KX$1:KX$1048576,"Y",[1]SurveyDATA!KI$1:KI$1048576,"*RELOCATION*",[1]SurveyDATA!VX$1:VX$1048576,"*SAMPLING*",[1]SurveyDATA!E$1:E$1048576,"*CATMON*",[1]SurveyDATA!JR$1:JR$1048576,"*NEED*",[1]SurveyDATA!KL$1:KL$1048576,"*GUIGUINTO*")</f>
        <v>0</v>
      </c>
      <c r="J9" s="221" t="n">
        <v>0</v>
      </c>
      <c r="K9" s="25" t="n">
        <f aca="false">COUNTIFS([1]SurveyDATA!KX$1:KX$1048576,"Y",[1]SurveyDATA!KI$1:KI$1048576,"*RELOCATION*",[1]SurveyDATA!VX$1:VX$1048576,"*SAMPLING*",[1]SurveyDATA!E$1:E$1048576,"*CATMON*",[1]SurveyDATA!JR$1:JR$1048576,"*NEED*",[1]SurveyDATA!KL$1:KL$1048576,"*PANDI*")</f>
        <v>0</v>
      </c>
      <c r="L9" s="221" t="n">
        <v>0</v>
      </c>
      <c r="M9" s="244" t="n">
        <f aca="false">COUNTIFS([1]SurveyDATA!KX$1:KX$1048576,"Y",[1]SurveyDATA!KI$1:KI$1048576,"*RELOCATION*",[1]SurveyDATA!VX$1:VX$1048576,"*SAMPLING*",[1]SurveyDATA!E$1:E$1048576,"*CATMON*",[1]SurveyDATA!JR$1:JR$1048576,"*NEED*",[1]SurveyDATA!KL$1:KL$1048576,"*SJDM*")</f>
        <v>0</v>
      </c>
      <c r="N9" s="221" t="n">
        <v>0</v>
      </c>
      <c r="O9" s="244" t="n">
        <f aca="false">COUNTIFS([1]SurveyDATA!KX$1:KX$1048576,"Y",[1]SurveyDATA!KI$1:KI$1048576,"*RELOCATION*",[1]SurveyDATA!VX$1:VX$1048576,"*SAMPLING*",[1]SurveyDATA!E$1:E$1048576,"*CATMON*",[1]SurveyDATA!JR$1:JR$1048576,"*NEED*",[1]SurveyDATA!KL$1:KL$1048576,"")</f>
        <v>0</v>
      </c>
      <c r="P9" s="245" t="n">
        <f aca="false">SUM(M9,K9,I9,G9,E9,C9)</f>
        <v>0</v>
      </c>
      <c r="Q9" s="26" t="e">
        <f aca="false">P9/P$95</f>
        <v>#DIV/0!</v>
      </c>
    </row>
    <row r="10" customFormat="false" ht="15.75" hidden="false" customHeight="false" outlineLevel="0" collapsed="false">
      <c r="A10" s="230"/>
      <c r="B10" s="231" t="s">
        <v>22</v>
      </c>
      <c r="C10" s="83" t="n">
        <f aca="false">COUNTIFS([1]SurveyDATA!KX$1:KX$1048576,"Y",[1]SurveyDATA!KI$1:KI$1048576,"*RELOCATION*",[1]SurveyDATA!VX$1:VX$1048576,"*SAMPLING*",[1]SurveyDATA!E$1:E$1048576,"*MALOLOS*",[1]SurveyDATA!JR$1:JR$1048576,"*NEED*",[1]SurveyDATA!KL$1:KL$1048576,"*CAVITE*")</f>
        <v>0</v>
      </c>
      <c r="D10" s="234" t="n">
        <v>0</v>
      </c>
      <c r="E10" s="246" t="n">
        <f aca="false">COUNTIFS([1]SurveyDATA!KV$1:KV$1048576,"Y",[1]SurveyDATA!KG$1:KG$1048576,"*RELOCATION*",[1]SurveyDATA!VV$1:VV$1048576,"*SAMPLING*",[1]SurveyDATA!C$1:C$1048576,"*MALOLOS*",[1]SurveyDATA!JP$1:JP$1048576,"*NEED*",[1]SurveyDATA!KJ$1:KJ$1048576,"*DISIPLINA*")</f>
        <v>0</v>
      </c>
      <c r="F10" s="234" t="n">
        <v>0</v>
      </c>
      <c r="G10" s="27" t="n">
        <f aca="false">COUNTIFS([1]SurveyDATA!KX$1:KX$1048576,"Y",[1]SurveyDATA!KI$1:KI$1048576,"*RELOCATION*",[1]SurveyDATA!VX$1:VX$1048576,"*SAMPLING*",[1]SurveyDATA!E$1:E$1048576,"*MALOLOS*",[1]SurveyDATA!JR$1:JR$1048576,"*NEED*",[1]SurveyDATA!KL$1:KL$1048576,"*BOCAUE*")</f>
        <v>0</v>
      </c>
      <c r="H10" s="224" t="e">
        <f aca="false">G10/G62</f>
        <v>#DIV/0!</v>
      </c>
      <c r="I10" s="27" t="n">
        <f aca="false">COUNTIFS([1]SurveyDATA!KX$1:KX$1048576,"Y",[1]SurveyDATA!KI$1:KI$1048576,"*RELOCATION*",[1]SurveyDATA!VX$1:VX$1048576,"*SAMPLING*",[1]SurveyDATA!E$1:E$1048576,"*MALOLOS*",[1]SurveyDATA!JR$1:JR$1048576,"*NEED*",[1]SurveyDATA!KL$1:KL$1048576,"*GUIGUINTO*")</f>
        <v>0</v>
      </c>
      <c r="J10" s="224" t="e">
        <f aca="false">I10/I62</f>
        <v>#DIV/0!</v>
      </c>
      <c r="K10" s="27" t="n">
        <f aca="false">COUNTIFS([1]SurveyDATA!KX$1:KX$1048576,"Y",[1]SurveyDATA!KI$1:KI$1048576,"*RELOCATION*",[1]SurveyDATA!VX$1:VX$1048576,"*SAMPLING*",[1]SurveyDATA!E$1:E$1048576,"*MALOLOS*",[1]SurveyDATA!JR$1:JR$1048576,"*NEED*",[1]SurveyDATA!KL$1:KL$1048576,"*PANDI*")</f>
        <v>0</v>
      </c>
      <c r="L10" s="224" t="n">
        <v>0</v>
      </c>
      <c r="M10" s="247" t="n">
        <f aca="false">COUNTIFS([1]SurveyDATA!KX$1:KX$1048576,"Y",[1]SurveyDATA!KI$1:KI$1048576,"*RELOCATION*",[1]SurveyDATA!VX$1:VX$1048576,"*SAMPLING*",[1]SurveyDATA!E$1:E$1048576,"*MALOLOS*",[1]SurveyDATA!JR$1:JR$1048576,"*NEED*",[1]SurveyDATA!KL$1:KL$1048576,"*SJDM*")</f>
        <v>0</v>
      </c>
      <c r="N10" s="224" t="n">
        <v>0</v>
      </c>
      <c r="O10" s="247" t="n">
        <f aca="false">COUNTIFS([1]SurveyDATA!KX$1:KX$1048576,"Y",[1]SurveyDATA!KI$1:KI$1048576,"*RELOCATION*",[1]SurveyDATA!VX$1:VX$1048576,"*SAMPLING*",[1]SurveyDATA!E$1:E$1048576,"*MALOLOS*",[1]SurveyDATA!JR$1:JR$1048576,"*NEED*",[1]SurveyDATA!KL$1:KL$1048576,"")</f>
        <v>0</v>
      </c>
      <c r="P10" s="248" t="n">
        <f aca="false">SUM(O10,M10,K10,I10,G10,E10,C10)</f>
        <v>0</v>
      </c>
      <c r="Q10" s="224" t="e">
        <f aca="false">P10/$P62</f>
        <v>#DIV/0!</v>
      </c>
    </row>
    <row r="11" customFormat="false" ht="15.75" hidden="false" customHeight="false" outlineLevel="0" collapsed="false">
      <c r="A11" s="174" t="s">
        <v>23</v>
      </c>
      <c r="B11" s="227" t="s">
        <v>24</v>
      </c>
      <c r="C11" s="82" t="n">
        <f aca="false">COUNTIFS([1]SurveyDATA!KX$1:KX$1048576,"Y",[1]SurveyDATA!KI$1:KI$1048576,"*RELOCATION*",[1]SurveyDATA!VX$1:VX$1048576,"*SAMPLING*",[1]SurveyDATA!E$1:E$1048576,"*POBLACION*",[1]SurveyDATA!JR$1:JR$1048576,"*NEED*",[1]SurveyDATA!KL$1:KL$1048576,"*CAVITE*")</f>
        <v>0</v>
      </c>
      <c r="D11" s="242" t="n">
        <v>0</v>
      </c>
      <c r="E11" s="243" t="n">
        <v>0</v>
      </c>
      <c r="F11" s="242" t="n">
        <v>0</v>
      </c>
      <c r="G11" s="25" t="n">
        <f aca="false">COUNTIFS([1]SurveyDATA!KX$1:KX$1048576,"Y",[1]SurveyDATA!KI$1:KI$1048576,"*RELOCATION*",[1]SurveyDATA!VX$1:VX$1048576,"*SAMPLING*",[1]SurveyDATA!E$1:E$1048576,"*POBLACION*",[1]SurveyDATA!JR$1:JR$1048576,"*NEED*",[1]SurveyDATA!KL$1:KL$1048576,"*BOCAUE*")</f>
        <v>0</v>
      </c>
      <c r="H11" s="221" t="n">
        <v>0</v>
      </c>
      <c r="I11" s="25" t="n">
        <f aca="false">COUNTIFS([1]SurveyDATA!KX$1:KX$1048576,"Y",[1]SurveyDATA!KI$1:KI$1048576,"*RELOCATION*",[1]SurveyDATA!VX$1:VX$1048576,"*SAMPLING*",[1]SurveyDATA!E$1:E$1048576,"*POBLACION*",[1]SurveyDATA!JR$1:JR$1048576,"*NEED*",[1]SurveyDATA!KL$1:KL$1048576,"*GUIGUINTO*")</f>
        <v>0</v>
      </c>
      <c r="J11" s="221" t="e">
        <f aca="false">I11/$I$100</f>
        <v>#DIV/0!</v>
      </c>
      <c r="K11" s="25" t="n">
        <f aca="false">COUNTIFS([1]SurveyDATA!KX$1:KX$1048576,"Y",[1]SurveyDATA!KI$1:KI$1048576,"*RELOCATION*",[1]SurveyDATA!VX$1:VX$1048576,"*SAMPLING*",[1]SurveyDATA!E$1:E$1048576,"*POBLACION*",[1]SurveyDATA!JR$1:JR$1048576,"*NEED*",[1]SurveyDATA!KL$1:KL$1048576,"*PANDI*")</f>
        <v>0</v>
      </c>
      <c r="L11" s="221" t="n">
        <v>0</v>
      </c>
      <c r="M11" s="244" t="n">
        <f aca="false">COUNTIFS([1]SurveyDATA!KX$1:KX$1048576,"Y",[1]SurveyDATA!KI$1:KI$1048576,"*RELOCATION*",[1]SurveyDATA!VX$1:VX$1048576,"*SAMPLING*",[1]SurveyDATA!E$1:E$1048576,"*POBLACION*",[1]SurveyDATA!JR$1:JR$1048576,"*NEED*",[1]SurveyDATA!KL$1:KL$1048576,"*SJDM*")</f>
        <v>0</v>
      </c>
      <c r="N11" s="221" t="n">
        <v>0</v>
      </c>
      <c r="O11" s="244" t="n">
        <f aca="false">COUNTIFS([1]SurveyDATA!KX$1:KX$1048576,"Y",[1]SurveyDATA!KI$1:KI$1048576,"*RELOCATION*",[1]SurveyDATA!VX$1:VX$1048576,"*SAMPLING*",[1]SurveyDATA!E$1:E$1048576,"*POBLACION*",[1]SurveyDATA!JR$1:JR$1048576,"*NEED*",[1]SurveyDATA!KL$1:KL$1048576,"")</f>
        <v>0</v>
      </c>
      <c r="P11" s="245" t="n">
        <f aca="false">SUM(M11,K11,I11,G11,E11,C11)</f>
        <v>0</v>
      </c>
      <c r="Q11" s="221" t="e">
        <f aca="false">P11/$I$100</f>
        <v>#DIV/0!</v>
      </c>
    </row>
    <row r="12" customFormat="false" ht="15.75" hidden="false" customHeight="false" outlineLevel="0" collapsed="false">
      <c r="A12" s="233"/>
      <c r="B12" s="227" t="s">
        <v>25</v>
      </c>
      <c r="C12" s="82" t="n">
        <f aca="false">COUNTIFS([1]SurveyDATA!KX$1:KX$1048576,"Y",[1]SurveyDATA!KI$1:KI$1048576,"*RELOCATION*",[1]SurveyDATA!VX$1:VX$1048576,"*SAMPLING*",[1]SurveyDATA!E$1:E$1048576,"*TUKTUKAN*",[1]SurveyDATA!JR$1:JR$1048576,"*NEED*",[1]SurveyDATA!KL$1:KL$1048576,"*CAVITE*")</f>
        <v>0</v>
      </c>
      <c r="D12" s="242" t="n">
        <v>0</v>
      </c>
      <c r="E12" s="243" t="n">
        <v>0</v>
      </c>
      <c r="F12" s="242" t="n">
        <v>0</v>
      </c>
      <c r="G12" s="25" t="n">
        <f aca="false">COUNTIFS([1]SurveyDATA!KX$1:KX$1048576,"Y",[1]SurveyDATA!KI$1:KI$1048576,"*RELOCATION*",[1]SurveyDATA!VX$1:VX$1048576,"*SAMPLING*",[1]SurveyDATA!E$1:E$1048576,"*TUKTUKAN*",[1]SurveyDATA!JR$1:JR$1048576,"*NEED*",[1]SurveyDATA!KL$1:KL$1048576,"*BOCAUE*")</f>
        <v>0</v>
      </c>
      <c r="H12" s="221" t="n">
        <v>0</v>
      </c>
      <c r="I12" s="25" t="n">
        <f aca="false">COUNTIFS([1]SurveyDATA!KX$1:KX$1048576,"Y",[1]SurveyDATA!KI$1:KI$1048576,"*RELOCATION*",[1]SurveyDATA!VX$1:VX$1048576,"*SAMPLING*",[1]SurveyDATA!E$1:E$1048576,"*TUKTUKAN*",[1]SurveyDATA!JR$1:JR$1048576,"*NEED*",[1]SurveyDATA!KL$1:KL$1048576,"*GUIGUINTO*")</f>
        <v>0</v>
      </c>
      <c r="J12" s="221" t="e">
        <f aca="false">I12/$I$100</f>
        <v>#DIV/0!</v>
      </c>
      <c r="K12" s="25" t="n">
        <f aca="false">COUNTIFS([1]SurveyDATA!KX$1:KX$1048576,"Y",[1]SurveyDATA!KI$1:KI$1048576,"*RELOCATION*",[1]SurveyDATA!VX$1:VX$1048576,"*SAMPLING*",[1]SurveyDATA!E$1:E$1048576,"*TUKTUKAN*",[1]SurveyDATA!JR$1:JR$1048576,"*NEED*",[1]SurveyDATA!KL$1:KL$1048576,"*PANDI*")</f>
        <v>0</v>
      </c>
      <c r="L12" s="221" t="n">
        <v>0</v>
      </c>
      <c r="M12" s="244" t="n">
        <f aca="false">COUNTIFS([1]SurveyDATA!KX$1:KX$1048576,"Y",[1]SurveyDATA!KI$1:KI$1048576,"*RELOCATION*",[1]SurveyDATA!VX$1:VX$1048576,"*SAMPLING*",[1]SurveyDATA!E$1:E$1048576,"*TUKTUKAN*",[1]SurveyDATA!JR$1:JR$1048576,"*NEED*",[1]SurveyDATA!KL$1:KL$1048576,"*SJDM*")</f>
        <v>0</v>
      </c>
      <c r="N12" s="221" t="n">
        <v>0</v>
      </c>
      <c r="O12" s="244" t="n">
        <f aca="false">COUNTIFS([1]SurveyDATA!KX$1:KX$1048576,"Y",[1]SurveyDATA!KI$1:KI$1048576,"*RELOCATION*",[1]SurveyDATA!VX$1:VX$1048576,"*SAMPLING*",[1]SurveyDATA!E$1:E$1048576,"*TUKTUKAN*",[1]SurveyDATA!JR$1:JR$1048576,"*NEED*",[1]SurveyDATA!KL$1:KL$1048576,"")</f>
        <v>0</v>
      </c>
      <c r="P12" s="245" t="n">
        <f aca="false">SUM(M12,K12,I12,G12,E12,C12)</f>
        <v>0</v>
      </c>
      <c r="Q12" s="221" t="e">
        <f aca="false">P12/$I$100</f>
        <v>#DIV/0!</v>
      </c>
    </row>
    <row r="13" customFormat="false" ht="15.75" hidden="false" customHeight="false" outlineLevel="0" collapsed="false">
      <c r="A13" s="233"/>
      <c r="B13" s="227" t="s">
        <v>26</v>
      </c>
      <c r="C13" s="82" t="n">
        <f aca="false">COUNTIFS([1]SurveyDATA!KX$1:KX$1048576,"Y",[1]SurveyDATA!KI$1:KI$1048576,"*RELOCATION*",[1]SurveyDATA!VX$1:VX$1048576,"*SAMPLING*",[1]SurveyDATA!E$1:E$1048576,"*CRUZ G*",[1]SurveyDATA!JR$1:JR$1048576,"*NEED*",[1]SurveyDATA!KL$1:KL$1048576,"*CAVITE*")</f>
        <v>0</v>
      </c>
      <c r="D13" s="242" t="n">
        <v>0</v>
      </c>
      <c r="E13" s="243" t="n">
        <v>0</v>
      </c>
      <c r="F13" s="242" t="n">
        <v>0</v>
      </c>
      <c r="G13" s="25" t="n">
        <f aca="false">COUNTIFS([1]SurveyDATA!KX$1:KX$1048576,"Y",[1]SurveyDATA!KI$1:KI$1048576,"*RELOCATION*",[1]SurveyDATA!VX$1:VX$1048576,"*SAMPLING*",[1]SurveyDATA!E$1:E$1048576,"*CRUZ G*",[1]SurveyDATA!JR$1:JR$1048576,"*NEED*",[1]SurveyDATA!KL$1:KL$1048576,"*BOCAUE*")</f>
        <v>0</v>
      </c>
      <c r="H13" s="221" t="n">
        <v>0</v>
      </c>
      <c r="I13" s="25" t="n">
        <f aca="false">COUNTIFS([1]SurveyDATA!KX$1:KX$1048576,"Y",[1]SurveyDATA!KI$1:KI$1048576,"*RELOCATION*",[1]SurveyDATA!VX$1:VX$1048576,"*SAMPLING*",[1]SurveyDATA!E$1:E$1048576,"*CRUZ G*",[1]SurveyDATA!JR$1:JR$1048576,"*NEED*",[1]SurveyDATA!KL$1:KL$1048576,"*GUIGUINTO*")</f>
        <v>0</v>
      </c>
      <c r="J13" s="221" t="e">
        <f aca="false">I13/$I$100</f>
        <v>#DIV/0!</v>
      </c>
      <c r="K13" s="25" t="n">
        <f aca="false">COUNTIFS([1]SurveyDATA!KX$1:KX$1048576,"Y",[1]SurveyDATA!KI$1:KI$1048576,"*RELOCATION*",[1]SurveyDATA!VX$1:VX$1048576,"*SAMPLING*",[1]SurveyDATA!E$1:E$1048576,"*CRUZ G*",[1]SurveyDATA!JR$1:JR$1048576,"*NEED*",[1]SurveyDATA!KL$1:KL$1048576,"*PANDI*")</f>
        <v>0</v>
      </c>
      <c r="L13" s="221" t="n">
        <v>0</v>
      </c>
      <c r="M13" s="244" t="n">
        <f aca="false">COUNTIFS([1]SurveyDATA!KX$1:KX$1048576,"Y",[1]SurveyDATA!KI$1:KI$1048576,"*RELOCATION*",[1]SurveyDATA!VX$1:VX$1048576,"*SAMPLING*",[1]SurveyDATA!E$1:E$1048576,"*CRUZ G*",[1]SurveyDATA!JR$1:JR$1048576,"*NEED*",[1]SurveyDATA!KL$1:KL$1048576,"*SJDM*")</f>
        <v>0</v>
      </c>
      <c r="N13" s="221" t="n">
        <v>0</v>
      </c>
      <c r="O13" s="244" t="n">
        <f aca="false">COUNTIFS([1]SurveyDATA!KX$1:KX$1048576,"Y",[1]SurveyDATA!KI$1:KI$1048576,"*RELOCATION*",[1]SurveyDATA!VX$1:VX$1048576,"*SAMPLING*",[1]SurveyDATA!E$1:E$1048576,"*CRUZ G*",[1]SurveyDATA!JR$1:JR$1048576,"*NEED*",[1]SurveyDATA!KL$1:KL$1048576,"")</f>
        <v>0</v>
      </c>
      <c r="P13" s="245" t="n">
        <f aca="false">SUM(M13,K13,I13,G13,E13,C13)</f>
        <v>0</v>
      </c>
      <c r="Q13" s="221" t="e">
        <f aca="false">P13/$I$100</f>
        <v>#DIV/0!</v>
      </c>
    </row>
    <row r="14" customFormat="false" ht="15.75" hidden="false" customHeight="false" outlineLevel="0" collapsed="false">
      <c r="A14" s="233"/>
      <c r="B14" s="227" t="s">
        <v>27</v>
      </c>
      <c r="C14" s="82" t="n">
        <f aca="false">COUNTIFS([1]SurveyDATA!KX$1:KX$1048576,"Y",[1]SurveyDATA!KI$1:KI$1048576,"*RELOCATION*",[1]SurveyDATA!VX$1:VX$1048576,"*SAMPLING*",[1]SurveyDATA!E$1:E$1048576,"*TABANG*",[1]SurveyDATA!JR$1:JR$1048576,"*NEED*",[1]SurveyDATA!KL$1:KL$1048576,"*CAVITE*")</f>
        <v>0</v>
      </c>
      <c r="D14" s="242" t="n">
        <v>0</v>
      </c>
      <c r="E14" s="243" t="n">
        <v>0</v>
      </c>
      <c r="F14" s="242" t="n">
        <v>0</v>
      </c>
      <c r="G14" s="25" t="n">
        <f aca="false">COUNTIFS([1]SurveyDATA!KX$1:KX$1048576,"Y",[1]SurveyDATA!KI$1:KI$1048576,"*RELOCATION*",[1]SurveyDATA!VX$1:VX$1048576,"*SAMPLING*",[1]SurveyDATA!E$1:E$1048576,"*TABANG*",[1]SurveyDATA!JR$1:JR$1048576,"*NEED*",[1]SurveyDATA!KL$1:KL$1048576,"*BOCAUE*")</f>
        <v>0</v>
      </c>
      <c r="H14" s="221" t="n">
        <v>0</v>
      </c>
      <c r="I14" s="25" t="n">
        <f aca="false">COUNTIFS([1]SurveyDATA!KX$1:KX$1048576,"Y",[1]SurveyDATA!KI$1:KI$1048576,"*RELOCATION*",[1]SurveyDATA!VX$1:VX$1048576,"*SAMPLING*",[1]SurveyDATA!E$1:E$1048576,"*TABANG*",[1]SurveyDATA!JR$1:JR$1048576,"*NEED*",[1]SurveyDATA!KL$1:KL$1048576,"*GUIGUINTO*")</f>
        <v>0</v>
      </c>
      <c r="J14" s="221" t="e">
        <f aca="false">I14/$I$100</f>
        <v>#DIV/0!</v>
      </c>
      <c r="K14" s="25" t="n">
        <f aca="false">COUNTIFS([1]SurveyDATA!KX$1:KX$1048576,"Y",[1]SurveyDATA!KI$1:KI$1048576,"*RELOCATION*",[1]SurveyDATA!VX$1:VX$1048576,"*SAMPLING*",[1]SurveyDATA!E$1:E$1048576,"*TABANG*",[1]SurveyDATA!JR$1:JR$1048576,"*NEED*",[1]SurveyDATA!KL$1:KL$1048576,"*PANDI*")</f>
        <v>0</v>
      </c>
      <c r="L14" s="221" t="n">
        <v>0</v>
      </c>
      <c r="M14" s="244" t="n">
        <f aca="false">COUNTIFS([1]SurveyDATA!KX$1:KX$1048576,"Y",[1]SurveyDATA!KI$1:KI$1048576,"*RELOCATION*",[1]SurveyDATA!VX$1:VX$1048576,"*SAMPLING*",[1]SurveyDATA!E$1:E$1048576,"*TABANG*",[1]SurveyDATA!JR$1:JR$1048576,"*NEED*",[1]SurveyDATA!KL$1:KL$1048576,"*SJDM*")</f>
        <v>0</v>
      </c>
      <c r="N14" s="221" t="n">
        <v>0</v>
      </c>
      <c r="O14" s="244" t="n">
        <f aca="false">COUNTIFS([1]SurveyDATA!KX$1:KX$1048576,"Y",[1]SurveyDATA!KI$1:KI$1048576,"*RELOCATION*",[1]SurveyDATA!VX$1:VX$1048576,"*SAMPLING*",[1]SurveyDATA!E$1:E$1048576,"*TABANG*",[1]SurveyDATA!JR$1:JR$1048576,"*NEED*",[1]SurveyDATA!KL$1:KL$1048576,"")</f>
        <v>0</v>
      </c>
      <c r="P14" s="245" t="n">
        <f aca="false">SUM(M14,K14,I14,G14,E14,C14)</f>
        <v>0</v>
      </c>
      <c r="Q14" s="221" t="e">
        <f aca="false">P14/$I$100</f>
        <v>#DIV/0!</v>
      </c>
    </row>
    <row r="15" customFormat="false" ht="15.75" hidden="false" customHeight="false" outlineLevel="0" collapsed="false">
      <c r="A15" s="230"/>
      <c r="B15" s="231" t="s">
        <v>22</v>
      </c>
      <c r="C15" s="83" t="n">
        <f aca="false">COUNTIFS([1]SurveyDATA!KX$1:KX$1048576,"Y",[1]SurveyDATA!KI$1:KI$1048576,"*RELOCATION*",[1]SurveyDATA!VX$1:VX$1048576,"*SAMPLING*",[1]SurveyDATA!E$1:E$1048576,"*GUIGUINTO*",[1]SurveyDATA!JR$1:JR$1048576,"*NEED*",[1]SurveyDATA!KL$1:KL$1048576,"*CAVITE*")</f>
        <v>0</v>
      </c>
      <c r="D15" s="234" t="n">
        <v>0</v>
      </c>
      <c r="E15" s="246" t="n">
        <v>0</v>
      </c>
      <c r="F15" s="234" t="n">
        <v>0</v>
      </c>
      <c r="G15" s="27" t="n">
        <f aca="false">COUNTIFS([1]SurveyDATA!KX$1:KX$1048576,"Y",[1]SurveyDATA!KI$1:KI$1048576,"*RELOCATION*",[1]SurveyDATA!VX$1:VX$1048576,"*SAMPLING*",[1]SurveyDATA!E$1:E$1048576,"*GUIGUINTO*",[1]SurveyDATA!JR$1:JR$1048576,"*NEED*",[1]SurveyDATA!KL$1:KL$1048576,"*BOCAUE*")</f>
        <v>0</v>
      </c>
      <c r="H15" s="224" t="n">
        <v>0</v>
      </c>
      <c r="I15" s="27" t="n">
        <f aca="false">COUNTIFS([1]SurveyDATA!KX$1:KX$1048576,"Y",[1]SurveyDATA!KI$1:KI$1048576,"*RELOCATION*",[1]SurveyDATA!VX$1:VX$1048576,"*SAMPLING*",[1]SurveyDATA!E$1:E$1048576,"*GUIGUINTO*",[1]SurveyDATA!JR$1:JR$1048576,"*NEED*",[1]SurveyDATA!KL$1:KL$1048576,"*GUIGUINTO*")</f>
        <v>0</v>
      </c>
      <c r="J15" s="224" t="e">
        <f aca="false">I15/P15</f>
        <v>#DIV/0!</v>
      </c>
      <c r="K15" s="27" t="n">
        <f aca="false">COUNTIFS([1]SurveyDATA!KX$1:KX$1048576,"Y",[1]SurveyDATA!KI$1:KI$1048576,"*RELOCATION*",[1]SurveyDATA!VX$1:VX$1048576,"*SAMPLING*",[1]SurveyDATA!E$1:E$1048576,"*GUIGUINTO*",[1]SurveyDATA!JR$1:JR$1048576,"*NEED*",[1]SurveyDATA!KL$1:KL$1048576,"*PANDI*")</f>
        <v>0</v>
      </c>
      <c r="L15" s="224" t="n">
        <v>0</v>
      </c>
      <c r="M15" s="247" t="n">
        <f aca="false">COUNTIFS([1]SurveyDATA!KX$1:KX$1048576,"Y",[1]SurveyDATA!KI$1:KI$1048576,"*RELOCATION*",[1]SurveyDATA!VX$1:VX$1048576,"*SAMPLING*",[1]SurveyDATA!E$1:E$1048576,"*GUIGUINTO*",[1]SurveyDATA!JR$1:JR$1048576,"*NEED*",[1]SurveyDATA!KL$1:KL$1048576,"*SJDM*")</f>
        <v>0</v>
      </c>
      <c r="N15" s="224" t="n">
        <v>0</v>
      </c>
      <c r="O15" s="247" t="n">
        <f aca="false">COUNTIFS([1]SurveyDATA!KX$1:KX$1048576,"Y",[1]SurveyDATA!KI$1:KI$1048576,"*RELOCATION*",[1]SurveyDATA!VX$1:VX$1048576,"*SAMPLING*",[1]SurveyDATA!E$1:E$1048576,"*GUIGUINTO*",[1]SurveyDATA!JR$1:JR$1048576,"*NEED*",[1]SurveyDATA!KL$1:KL$1048576,"")</f>
        <v>0</v>
      </c>
      <c r="P15" s="248" t="n">
        <f aca="false">SUM(O15,M15,K15,I15,G15,E15,C15)</f>
        <v>0</v>
      </c>
      <c r="Q15" s="224" t="e">
        <f aca="false">P15/P$147</f>
        <v>#DIV/0!</v>
      </c>
    </row>
    <row r="16" customFormat="false" ht="15.75" hidden="false" customHeight="false" outlineLevel="0" collapsed="false">
      <c r="A16" s="174" t="s">
        <v>28</v>
      </c>
      <c r="B16" s="227" t="s">
        <v>29</v>
      </c>
      <c r="C16" s="82" t="n">
        <f aca="false">COUNTIFS([1]SurveyDATA!KX$1:KX$1048576,"Y",[1]SurveyDATA!KI$1:KI$1048576,"*RELOCATION*",[1]SurveyDATA!VX$1:VX$1048576,"*SAMPLING*",[1]SurveyDATA!E$1:E$1048576,"*BUROL*",[1]SurveyDATA!JR$1:JR$1048576,"*NEED*",[1]SurveyDATA!KL$1:KL$1048576,"*CAVITE*")</f>
        <v>0</v>
      </c>
      <c r="D16" s="242" t="n">
        <v>0</v>
      </c>
      <c r="E16" s="243" t="n">
        <v>0</v>
      </c>
      <c r="F16" s="242" t="n">
        <v>0</v>
      </c>
      <c r="G16" s="25" t="n">
        <f aca="false">COUNTIFS([1]SurveyDATA!KX$1:KX$1048576,"Y",[1]SurveyDATA!KI$1:KI$1048576,"*RELOCATION*",[1]SurveyDATA!VX$1:VX$1048576,"*SAMPLING*",[1]SurveyDATA!E$1:E$1048576,"*BUROL*",[1]SurveyDATA!JR$1:JR$1048576,"*NEED*",[1]SurveyDATA!KL$1:KL$1048576,"*BOCAUE*")</f>
        <v>0</v>
      </c>
      <c r="H16" s="221" t="n">
        <v>0</v>
      </c>
      <c r="I16" s="25" t="n">
        <f aca="false">COUNTIFS([1]SurveyDATA!KX$1:KX$1048576,"Y",[1]SurveyDATA!KI$1:KI$1048576,"*RELOCATION*",[1]SurveyDATA!VX$1:VX$1048576,"*SAMPLING*",[1]SurveyDATA!E$1:E$1048576,"*BUROL*",[1]SurveyDATA!JR$1:JR$1048576,"*NEED*",[1]SurveyDATA!KL$1:KL$1048576,"*GUIGUINTO*")</f>
        <v>0</v>
      </c>
      <c r="J16" s="221" t="n">
        <v>0</v>
      </c>
      <c r="K16" s="25" t="n">
        <f aca="false">COUNTIFS([1]SurveyDATA!KX$1:KX$1048576,"Y",[1]SurveyDATA!KI$1:KI$1048576,"*RELOCATION*",[1]SurveyDATA!VX$1:VX$1048576,"*SAMPLING*",[1]SurveyDATA!E$1:E$1048576,"*BUROL*",[1]SurveyDATA!JR$1:JR$1048576,"*NEED*",[1]SurveyDATA!KL$1:KL$1048576,"*PANDI*")</f>
        <v>0</v>
      </c>
      <c r="L16" s="221" t="n">
        <v>0</v>
      </c>
      <c r="M16" s="244" t="n">
        <f aca="false">COUNTIFS([1]SurveyDATA!KX$1:KX$1048576,"Y",[1]SurveyDATA!KI$1:KI$1048576,"*RELOCATION*",[1]SurveyDATA!VX$1:VX$1048576,"*SAMPLING*",[1]SurveyDATA!E$1:E$1048576,"*BUROL*",[1]SurveyDATA!JR$1:JR$1048576,"*NEED*",[1]SurveyDATA!KL$1:KL$1048576,"*SJDM*")</f>
        <v>0</v>
      </c>
      <c r="N16" s="221" t="n">
        <v>0</v>
      </c>
      <c r="O16" s="244" t="n">
        <f aca="false">COUNTIFS([1]SurveyDATA!KX$1:KX$1048576,"Y",[1]SurveyDATA!KI$1:KI$1048576,"*RELOCATION*",[1]SurveyDATA!VX$1:VX$1048576,"*SAMPLING*",[1]SurveyDATA!E$1:E$1048576,"*BUROL*",[1]SurveyDATA!JR$1:JR$1048576,"*NEED*",[1]SurveyDATA!KL$1:KL$1048576,"")</f>
        <v>0</v>
      </c>
      <c r="P16" s="245" t="n">
        <f aca="false">SUM(M16,K16,I16,G16,E16,C16)</f>
        <v>0</v>
      </c>
      <c r="Q16" s="221" t="n">
        <v>0</v>
      </c>
    </row>
    <row r="17" customFormat="false" ht="15.75" hidden="false" customHeight="false" outlineLevel="0" collapsed="false">
      <c r="A17" s="230"/>
      <c r="B17" s="231" t="s">
        <v>22</v>
      </c>
      <c r="C17" s="83" t="n">
        <f aca="false">COUNTIFS([1]SurveyDATA!KX$1:KX$1048576,"Y",[1]SurveyDATA!KI$1:KI$1048576,"*RELOCATION*",[1]SurveyDATA!VX$1:VX$1048576,"*SAMPLING*",[1]SurveyDATA!E$1:E$1048576,"*BALAGTAS*",[1]SurveyDATA!JR$1:JR$1048576,"*NEED*",[1]SurveyDATA!KL$1:KL$1048576,"*CAVITE*")</f>
        <v>0</v>
      </c>
      <c r="D17" s="234" t="n">
        <v>0</v>
      </c>
      <c r="E17" s="246" t="n">
        <v>0</v>
      </c>
      <c r="F17" s="234" t="n">
        <v>0</v>
      </c>
      <c r="G17" s="27" t="n">
        <f aca="false">COUNTIFS([1]SurveyDATA!KX$1:KX$1048576,"Y",[1]SurveyDATA!KI$1:KI$1048576,"*RELOCATION*",[1]SurveyDATA!VX$1:VX$1048576,"*SAMPLING*",[1]SurveyDATA!E$1:E$1048576,"*BALAGTAS*",[1]SurveyDATA!JR$1:JR$1048576,"*NEED*",[1]SurveyDATA!KL$1:KL$1048576,"*BOCAUE*")</f>
        <v>0</v>
      </c>
      <c r="H17" s="224" t="n">
        <v>0</v>
      </c>
      <c r="I17" s="27" t="n">
        <f aca="false">COUNTIFS([1]SurveyDATA!KX$1:KX$1048576,"Y",[1]SurveyDATA!KI$1:KI$1048576,"*RELOCATION*",[1]SurveyDATA!VX$1:VX$1048576,"*SAMPLING*",[1]SurveyDATA!E$1:E$1048576,"*BALAGTAS*",[1]SurveyDATA!JR$1:JR$1048576,"*NEED*",[1]SurveyDATA!KL$1:KL$1048576,"*GUIGUINTO*")</f>
        <v>0</v>
      </c>
      <c r="J17" s="224" t="n">
        <v>0</v>
      </c>
      <c r="K17" s="27" t="n">
        <f aca="false">COUNTIFS([1]SurveyDATA!KX$1:KX$1048576,"Y",[1]SurveyDATA!KI$1:KI$1048576,"*RELOCATION*",[1]SurveyDATA!VX$1:VX$1048576,"*SAMPLING*",[1]SurveyDATA!E$1:E$1048576,"*BALAGTAS*",[1]SurveyDATA!JR$1:JR$1048576,"*NEED*",[1]SurveyDATA!KL$1:KL$1048576,"*PANDI*")</f>
        <v>0</v>
      </c>
      <c r="L17" s="224" t="n">
        <v>0</v>
      </c>
      <c r="M17" s="247" t="n">
        <f aca="false">COUNTIFS([1]SurveyDATA!KX$1:KX$1048576,"Y",[1]SurveyDATA!KI$1:KI$1048576,"*RELOCATION*",[1]SurveyDATA!VX$1:VX$1048576,"*SAMPLING*",[1]SurveyDATA!E$1:E$1048576,"*BALAGTAS*",[1]SurveyDATA!JR$1:JR$1048576,"*NEED*",[1]SurveyDATA!KL$1:KL$1048576,"*SJDM*")</f>
        <v>0</v>
      </c>
      <c r="N17" s="224" t="n">
        <v>0</v>
      </c>
      <c r="O17" s="247" t="n">
        <f aca="false">COUNTIFS([1]SurveyDATA!KX$1:KX$1048576,"Y",[1]SurveyDATA!KI$1:KI$1048576,"*RELOCATION*",[1]SurveyDATA!VX$1:VX$1048576,"*SAMPLING*",[1]SurveyDATA!E$1:E$1048576,"*BALAGTAS*",[1]SurveyDATA!JR$1:JR$1048576,"*NEED*",[1]SurveyDATA!KL$1:KL$1048576,"")</f>
        <v>0</v>
      </c>
      <c r="P17" s="248" t="n">
        <f aca="false">SUM(O17,M17,K17,I17,G17,E17,C17)</f>
        <v>0</v>
      </c>
      <c r="Q17" s="224" t="n">
        <v>0</v>
      </c>
    </row>
    <row r="18" customFormat="false" ht="15.75" hidden="false" customHeight="false" outlineLevel="0" collapsed="false">
      <c r="A18" s="174" t="s">
        <v>30</v>
      </c>
      <c r="B18" s="227" t="s">
        <v>31</v>
      </c>
      <c r="C18" s="82" t="n">
        <f aca="false">COUNTIFS([1]SurveyDATA!KX$1:KX$1048576,"Y",[1]SurveyDATA!KI$1:KI$1048576,"*RELOCATION*",[1]SurveyDATA!VX$1:VX$1048576,"*SAMPLING*",[1]SurveyDATA!E$1:E$1048576,"*TAAL*",[1]SurveyDATA!JR$1:JR$1048576,"*NEED*",[1]SurveyDATA!KL$1:KL$1048576,"*CAVITE*")</f>
        <v>0</v>
      </c>
      <c r="D18" s="242" t="n">
        <v>0</v>
      </c>
      <c r="E18" s="243" t="n">
        <v>0</v>
      </c>
      <c r="F18" s="242" t="n">
        <v>0</v>
      </c>
      <c r="G18" s="25" t="n">
        <f aca="false">COUNTIFS([1]SurveyDATA!KX$1:KX$1048576,"Y",[1]SurveyDATA!KI$1:KI$1048576,"*RELOCATION*",[1]SurveyDATA!VX$1:VX$1048576,"*SAMPLING*",[1]SurveyDATA!E$1:E$1048576,"*TAAL*",[1]SurveyDATA!JR$1:JR$1048576,"*NEED*",[1]SurveyDATA!KL$1:KL$1048576,"*BOCAUE*")</f>
        <v>0</v>
      </c>
      <c r="H18" s="221" t="e">
        <f aca="false">G18/$G$106</f>
        <v>#DIV/0!</v>
      </c>
      <c r="I18" s="25" t="n">
        <f aca="false">COUNTIFS([1]SurveyDATA!KX$1:KX$1048576,"Y",[1]SurveyDATA!KI$1:KI$1048576,"*RELOCATION*",[1]SurveyDATA!VX$1:VX$1048576,"*SAMPLING*",[1]SurveyDATA!E$1:E$1048576,"*TAAL*",[1]SurveyDATA!JR$1:JR$1048576,"*NEED*",[1]SurveyDATA!KL$1:KL$1048576,"*GUIGUINTO*")</f>
        <v>0</v>
      </c>
      <c r="J18" s="221" t="n">
        <v>0</v>
      </c>
      <c r="K18" s="25" t="n">
        <f aca="false">COUNTIFS([1]SurveyDATA!KX$1:KX$1048576,"Y",[1]SurveyDATA!KI$1:KI$1048576,"*RELOCATION*",[1]SurveyDATA!VX$1:VX$1048576,"*SAMPLING*",[1]SurveyDATA!E$1:E$1048576,"*TAAL*",[1]SurveyDATA!JR$1:JR$1048576,"*NEED*",[1]SurveyDATA!KL$1:KL$1048576,"*PANDI*")</f>
        <v>0</v>
      </c>
      <c r="L18" s="221" t="n">
        <v>0</v>
      </c>
      <c r="M18" s="244" t="n">
        <f aca="false">COUNTIFS([1]SurveyDATA!KX$1:KX$1048576,"Y",[1]SurveyDATA!KI$1:KI$1048576,"*RELOCATION*",[1]SurveyDATA!VX$1:VX$1048576,"*SAMPLING*",[1]SurveyDATA!E$1:E$1048576,"*TAAL*",[1]SurveyDATA!JR$1:JR$1048576,"*NEED*",[1]SurveyDATA!KL$1:KL$1048576,"*SJDM*")</f>
        <v>0</v>
      </c>
      <c r="N18" s="221" t="n">
        <v>0</v>
      </c>
      <c r="O18" s="244" t="n">
        <f aca="false">COUNTIFS([1]SurveyDATA!KX$1:KX$1048576,"Y",[1]SurveyDATA!KI$1:KI$1048576,"*RELOCATION*",[1]SurveyDATA!VX$1:VX$1048576,"*SAMPLING*",[1]SurveyDATA!E$1:E$1048576,"*TAAL*",[1]SurveyDATA!JR$1:JR$1048576,"*NEED*",[1]SurveyDATA!KL$1:KL$1048576,"")</f>
        <v>0</v>
      </c>
      <c r="P18" s="245" t="n">
        <f aca="false">SUM(M18,K18,I18,G18,E18,C18)</f>
        <v>0</v>
      </c>
      <c r="Q18" s="221" t="e">
        <f aca="false">P18/$P$106</f>
        <v>#DIV/0!</v>
      </c>
    </row>
    <row r="19" customFormat="false" ht="15.75" hidden="false" customHeight="false" outlineLevel="0" collapsed="false">
      <c r="A19" s="174"/>
      <c r="B19" s="227" t="s">
        <v>32</v>
      </c>
      <c r="C19" s="82" t="n">
        <f aca="false">COUNTIFS([1]SurveyDATA!KX$1:KX$1048576,"Y",[1]SurveyDATA!KI$1:KI$1048576,"*RELOCATION*",[1]SurveyDATA!VX$1:VX$1048576,"*SAMPLING*",[1]SurveyDATA!E$1:E$1048576,"*IGULOT*",[1]SurveyDATA!JR$1:JR$1048576,"*NEED*",[1]SurveyDATA!KL$1:KL$1048576,"*CAVITE*")</f>
        <v>0</v>
      </c>
      <c r="D19" s="242" t="n">
        <v>0</v>
      </c>
      <c r="E19" s="243" t="n">
        <v>0</v>
      </c>
      <c r="F19" s="242" t="n">
        <v>0</v>
      </c>
      <c r="G19" s="25" t="n">
        <f aca="false">COUNTIFS([1]SurveyDATA!KX$1:KX$1048576,"Y",[1]SurveyDATA!KI$1:KI$1048576,"*RELOCATION*",[1]SurveyDATA!VX$1:VX$1048576,"*SAMPLING*",[1]SurveyDATA!E$1:E$1048576,"*IGULOT*",[1]SurveyDATA!JR$1:JR$1048576,"*NEED*",[1]SurveyDATA!KL$1:KL$1048576,"*BOCAUE*")</f>
        <v>0</v>
      </c>
      <c r="H19" s="221" t="e">
        <f aca="false">G19/$G$106</f>
        <v>#DIV/0!</v>
      </c>
      <c r="I19" s="25" t="n">
        <f aca="false">COUNTIFS([1]SurveyDATA!KX$1:KX$1048576,"Y",[1]SurveyDATA!KI$1:KI$1048576,"*RELOCATION*",[1]SurveyDATA!VX$1:VX$1048576,"*SAMPLING*",[1]SurveyDATA!E$1:E$1048576,"*IGULOT*",[1]SurveyDATA!JR$1:JR$1048576,"*NEED*",[1]SurveyDATA!KL$1:KL$1048576,"*GUIGUINTO*")</f>
        <v>0</v>
      </c>
      <c r="J19" s="221" t="n">
        <v>0</v>
      </c>
      <c r="K19" s="25" t="n">
        <f aca="false">COUNTIFS([1]SurveyDATA!KX$1:KX$1048576,"Y",[1]SurveyDATA!KI$1:KI$1048576,"*RELOCATION*",[1]SurveyDATA!VX$1:VX$1048576,"*SAMPLING*",[1]SurveyDATA!E$1:E$1048576,"*IGULOT*",[1]SurveyDATA!JR$1:JR$1048576,"*NEED*",[1]SurveyDATA!KL$1:KL$1048576,"*PANDI*")</f>
        <v>0</v>
      </c>
      <c r="L19" s="221" t="n">
        <v>0</v>
      </c>
      <c r="M19" s="244" t="n">
        <f aca="false">COUNTIFS([1]SurveyDATA!KX$1:KX$1048576,"Y",[1]SurveyDATA!KI$1:KI$1048576,"*RELOCATION*",[1]SurveyDATA!VX$1:VX$1048576,"*SAMPLING*",[1]SurveyDATA!E$1:E$1048576,"*IGULOT*",[1]SurveyDATA!JR$1:JR$1048576,"*NEED*",[1]SurveyDATA!KL$1:KL$1048576,"*SJDM*")</f>
        <v>0</v>
      </c>
      <c r="N19" s="221" t="n">
        <v>0</v>
      </c>
      <c r="O19" s="244" t="n">
        <f aca="false">COUNTIFS([1]SurveyDATA!KX$1:KX$1048576,"Y",[1]SurveyDATA!KI$1:KI$1048576,"*RELOCATION*",[1]SurveyDATA!VX$1:VX$1048576,"*SAMPLING*",[1]SurveyDATA!E$1:E$1048576,"*IGULOT*",[1]SurveyDATA!JR$1:JR$1048576,"*NEED*",[1]SurveyDATA!KL$1:KL$1048576,"")</f>
        <v>0</v>
      </c>
      <c r="P19" s="245" t="n">
        <f aca="false">SUM(M19,K19,I19,G19,E19,C19)</f>
        <v>0</v>
      </c>
      <c r="Q19" s="221" t="e">
        <f aca="false">P19/$P$106</f>
        <v>#DIV/0!</v>
      </c>
    </row>
    <row r="20" customFormat="false" ht="15.75" hidden="false" customHeight="false" outlineLevel="0" collapsed="false">
      <c r="A20" s="174"/>
      <c r="B20" s="227" t="s">
        <v>33</v>
      </c>
      <c r="C20" s="82" t="n">
        <f aca="false">COUNTIFS([1]SurveyDATA!KX$1:KX$1048576,"Y",[1]SurveyDATA!KI$1:KI$1048576,"*RELOCATION*",[1]SurveyDATA!VX$1:VX$1048576,"*SAMPLING*",[1]SurveyDATA!E$1:E$1048576,"*BUNDUKAN*",[1]SurveyDATA!JR$1:JR$1048576,"*NEED*",[1]SurveyDATA!KL$1:KL$1048576,"*CAVITE*")</f>
        <v>0</v>
      </c>
      <c r="D20" s="242" t="n">
        <v>0</v>
      </c>
      <c r="E20" s="243" t="n">
        <v>0</v>
      </c>
      <c r="F20" s="242" t="n">
        <v>0</v>
      </c>
      <c r="G20" s="25" t="n">
        <f aca="false">COUNTIFS([1]SurveyDATA!KX$1:KX$1048576,"Y",[1]SurveyDATA!KI$1:KI$1048576,"*RELOCATION*",[1]SurveyDATA!VX$1:VX$1048576,"*SAMPLING*",[1]SurveyDATA!E$1:E$1048576,"*BUNDUKAN*",[1]SurveyDATA!JR$1:JR$1048576,"*NEED*",[1]SurveyDATA!KL$1:KL$1048576,"*BOCAUE*")</f>
        <v>0</v>
      </c>
      <c r="H20" s="221" t="e">
        <f aca="false">G20/$G$106</f>
        <v>#DIV/0!</v>
      </c>
      <c r="I20" s="25" t="n">
        <f aca="false">COUNTIFS([1]SurveyDATA!KX$1:KX$1048576,"Y",[1]SurveyDATA!KI$1:KI$1048576,"*RELOCATION*",[1]SurveyDATA!VX$1:VX$1048576,"*SAMPLING*",[1]SurveyDATA!E$1:E$1048576,"*BUNDUKAN*",[1]SurveyDATA!JR$1:JR$1048576,"*NEED*",[1]SurveyDATA!KL$1:KL$1048576,"*GUIGUINTO*")</f>
        <v>0</v>
      </c>
      <c r="J20" s="221" t="n">
        <v>0</v>
      </c>
      <c r="K20" s="25" t="n">
        <f aca="false">COUNTIFS([1]SurveyDATA!KX$1:KX$1048576,"Y",[1]SurveyDATA!KI$1:KI$1048576,"*RELOCATION*",[1]SurveyDATA!VX$1:VX$1048576,"*SAMPLING*",[1]SurveyDATA!E$1:E$1048576,"*BUNDUKAN*",[1]SurveyDATA!JR$1:JR$1048576,"*NEED*",[1]SurveyDATA!KL$1:KL$1048576,"*PANDI*")</f>
        <v>0</v>
      </c>
      <c r="L20" s="221" t="n">
        <v>0</v>
      </c>
      <c r="M20" s="244" t="n">
        <f aca="false">COUNTIFS([1]SurveyDATA!KX$1:KX$1048576,"Y",[1]SurveyDATA!KI$1:KI$1048576,"*RELOCATION*",[1]SurveyDATA!VX$1:VX$1048576,"*SAMPLING*",[1]SurveyDATA!E$1:E$1048576,"*BUNDUKAN*",[1]SurveyDATA!JR$1:JR$1048576,"*NEED*",[1]SurveyDATA!KL$1:KL$1048576,"*SJDM*")</f>
        <v>0</v>
      </c>
      <c r="N20" s="221" t="n">
        <v>0</v>
      </c>
      <c r="O20" s="244" t="n">
        <f aca="false">COUNTIFS([1]SurveyDATA!KX$1:KX$1048576,"Y",[1]SurveyDATA!KI$1:KI$1048576,"*RELOCATION*",[1]SurveyDATA!VX$1:VX$1048576,"*SAMPLING*",[1]SurveyDATA!E$1:E$1048576,"*BUNDUKAN*",[1]SurveyDATA!JR$1:JR$1048576,"*NEED*",[1]SurveyDATA!KL$1:KL$1048576,"")</f>
        <v>0</v>
      </c>
      <c r="P20" s="245" t="n">
        <f aca="false">SUM(M20,K20,I20,G20,E20,C20)</f>
        <v>0</v>
      </c>
      <c r="Q20" s="221" t="e">
        <f aca="false">P20/$P$106</f>
        <v>#DIV/0!</v>
      </c>
    </row>
    <row r="21" customFormat="false" ht="15.75" hidden="false" customHeight="false" outlineLevel="0" collapsed="false">
      <c r="A21" s="230"/>
      <c r="B21" s="231" t="s">
        <v>22</v>
      </c>
      <c r="C21" s="83" t="n">
        <f aca="false">COUNTIFS([1]SurveyDATA!KX$1:KX$1048576,"Y",[1]SurveyDATA!KI$1:KI$1048576,"*RELOCATION*",[1]SurveyDATA!VX$1:VX$1048576,"*SAMPLING*",[1]SurveyDATA!E$1:E$1048576,"*BOCAUE*",[1]SurveyDATA!JR$1:JR$1048576,"*NEED*",[1]SurveyDATA!KL$1:KL$1048576,"*CAVITE*")</f>
        <v>0</v>
      </c>
      <c r="D21" s="234" t="n">
        <v>0</v>
      </c>
      <c r="E21" s="246" t="n">
        <v>0</v>
      </c>
      <c r="F21" s="234" t="n">
        <v>0</v>
      </c>
      <c r="G21" s="27" t="n">
        <f aca="false">COUNTIFS([1]SurveyDATA!KX$1:KX$1048576,"Y",[1]SurveyDATA!KI$1:KI$1048576,"*RELOCATION*",[1]SurveyDATA!VX$1:VX$1048576,"*SAMPLING*",[1]SurveyDATA!E$1:E$1048576,"*BOCAUE*",[1]SurveyDATA!JR$1:JR$1048576,"*NEED*",[1]SurveyDATA!KL$1:KL$1048576,"*BOCAUE*")</f>
        <v>0</v>
      </c>
      <c r="H21" s="224" t="e">
        <f aca="false">G21/P21</f>
        <v>#DIV/0!</v>
      </c>
      <c r="I21" s="27" t="n">
        <f aca="false">COUNTIFS([1]SurveyDATA!KX$1:KX$1048576,"Y",[1]SurveyDATA!KI$1:KI$1048576,"*RELOCATION*",[1]SurveyDATA!VX$1:VX$1048576,"*SAMPLING*",[1]SurveyDATA!E$1:E$1048576,"*BOCAUE*",[1]SurveyDATA!JR$1:JR$1048576,"*NEED*",[1]SurveyDATA!KL$1:KL$1048576,"*GUIGUINTO*")</f>
        <v>0</v>
      </c>
      <c r="J21" s="224" t="e">
        <f aca="false">I21/F73</f>
        <v>#DIV/0!</v>
      </c>
      <c r="K21" s="27" t="n">
        <f aca="false">COUNTIFS([1]SurveyDATA!KX$1:KX$1048576,"Y",[1]SurveyDATA!KI$1:KI$1048576,"*RELOCATION*",[1]SurveyDATA!VX$1:VX$1048576,"*SAMPLING*",[1]SurveyDATA!E$1:E$1048576,"*BOCAUE*",[1]SurveyDATA!JR$1:JR$1048576,"*NEED*",[1]SurveyDATA!KL$1:KL$1048576,"*PANDI*")</f>
        <v>0</v>
      </c>
      <c r="L21" s="224" t="e">
        <f aca="false">K21/P21</f>
        <v>#DIV/0!</v>
      </c>
      <c r="M21" s="247" t="n">
        <f aca="false">COUNTIFS([1]SurveyDATA!KX$1:KX$1048576,"Y",[1]SurveyDATA!KI$1:KI$1048576,"*RELOCATION*",[1]SurveyDATA!VX$1:VX$1048576,"*SAMPLING*",[1]SurveyDATA!E$1:E$1048576,"*BOCAUE*",[1]SurveyDATA!JR$1:JR$1048576,"*NEED*",[1]SurveyDATA!KL$1:KL$1048576,"*SJDM*")</f>
        <v>0</v>
      </c>
      <c r="N21" s="224" t="e">
        <f aca="false">M21/P21</f>
        <v>#DIV/0!</v>
      </c>
      <c r="O21" s="247" t="n">
        <f aca="false">COUNTIFS([1]SurveyDATA!KX$1:KX$1048576,"Y",[1]SurveyDATA!KI$1:KI$1048576,"*RELOCATION*",[1]SurveyDATA!VX$1:VX$1048576,"*SAMPLING*",[1]SurveyDATA!E$1:E$1048576,"*BOCAUE*",[1]SurveyDATA!JR$1:JR$1048576,"*NEED*",[1]SurveyDATA!KL$1:KL$1048576,"")</f>
        <v>0</v>
      </c>
      <c r="P21" s="248" t="n">
        <f aca="false">SUM(O21,M21,K21,I21,G21,E21,C21)</f>
        <v>0</v>
      </c>
      <c r="Q21" s="224" t="e">
        <f aca="false">P21/P$147</f>
        <v>#DIV/0!</v>
      </c>
    </row>
    <row r="22" customFormat="false" ht="15.75" hidden="false" customHeight="false" outlineLevel="0" collapsed="false">
      <c r="A22" s="174" t="s">
        <v>34</v>
      </c>
      <c r="B22" s="227" t="s">
        <v>35</v>
      </c>
      <c r="C22" s="82" t="n">
        <f aca="false">COUNTIFS([1]SurveyDATA!KX$1:KX$1048576,"Y",[1]SurveyDATA!KI$1:KI$1048576,"*RELOCATION*",[1]SurveyDATA!VX$1:VX$1048576,"*SAMPLING*",[1]SurveyDATA!E$1:E$1048576,"*NORTE*",[1]SurveyDATA!JR$1:JR$1048576,"*NEED*",[1]SurveyDATA!KL$1:KL$1048576,"*CAVITE*")</f>
        <v>0</v>
      </c>
      <c r="D22" s="242" t="n">
        <v>0</v>
      </c>
      <c r="E22" s="243" t="n">
        <v>0</v>
      </c>
      <c r="F22" s="242" t="n">
        <v>0</v>
      </c>
      <c r="G22" s="25" t="n">
        <f aca="false">COUNTIFS([1]SurveyDATA!KX$1:KX$1048576,"Y",[1]SurveyDATA!KI$1:KI$1048576,"*RELOCATION*",[1]SurveyDATA!VX$1:VX$1048576,"*SAMPLING*",[1]SurveyDATA!E$1:E$1048576,"*NORTE*",[1]SurveyDATA!JR$1:JR$1048576,"*NEED*",[1]SurveyDATA!KL$1:KL$1048576,"*BOCAUE*")</f>
        <v>0</v>
      </c>
      <c r="H22" s="221" t="e">
        <f aca="false">G22/G$110</f>
        <v>#DIV/0!</v>
      </c>
      <c r="I22" s="25" t="n">
        <f aca="false">COUNTIFS([1]SurveyDATA!KX$1:KX$1048576,"Y",[1]SurveyDATA!KI$1:KI$1048576,"*RELOCATION*",[1]SurveyDATA!VX$1:VX$1048576,"*SAMPLING*",[1]SurveyDATA!E$1:E$1048576,"*NORTE*",[1]SurveyDATA!JR$1:JR$1048576,"*NEED*",[1]SurveyDATA!KL$1:KL$1048576,"*GUIGUINTO*")</f>
        <v>0</v>
      </c>
      <c r="J22" s="221" t="n">
        <v>0</v>
      </c>
      <c r="K22" s="25" t="n">
        <f aca="false">COUNTIFS([1]SurveyDATA!KX$1:KX$1048576,"Y",[1]SurveyDATA!KI$1:KI$1048576,"*RELOCATION*",[1]SurveyDATA!VX$1:VX$1048576,"*SAMPLING*",[1]SurveyDATA!E$1:E$1048576,"*NORTE*",[1]SurveyDATA!JR$1:JR$1048576,"*NEED*",[1]SurveyDATA!KL$1:KL$1048576,"*PANDI*")</f>
        <v>0</v>
      </c>
      <c r="L22" s="221" t="n">
        <v>0</v>
      </c>
      <c r="M22" s="244" t="n">
        <f aca="false">COUNTIFS([1]SurveyDATA!KX$1:KX$1048576,"Y",[1]SurveyDATA!KI$1:KI$1048576,"*RELOCATION*",[1]SurveyDATA!VX$1:VX$1048576,"*SAMPLING*",[1]SurveyDATA!E$1:E$1048576,"*NORTE*",[1]SurveyDATA!JR$1:JR$1048576,"*NEED*",[1]SurveyDATA!KL$1:KL$1048576,"*SJDM*")</f>
        <v>0</v>
      </c>
      <c r="N22" s="221" t="n">
        <v>0</v>
      </c>
      <c r="O22" s="244" t="n">
        <f aca="false">COUNTIFS([1]SurveyDATA!KX$1:KX$1048576,"Y",[1]SurveyDATA!KI$1:KI$1048576,"*RELOCATION*",[1]SurveyDATA!VX$1:VX$1048576,"*SAMPLING*",[1]SurveyDATA!E$1:E$1048576,"*BUNDUKAN*",[1]SurveyDATA!JR$1:JR$1048576,"*NEED*",[1]SurveyDATA!KL$1:KL$1048576,"")</f>
        <v>0</v>
      </c>
      <c r="P22" s="245" t="n">
        <f aca="false">SUM(M22,K22,I22,G22,E22,C22)</f>
        <v>0</v>
      </c>
      <c r="Q22" s="221" t="e">
        <f aca="false">P22/P25</f>
        <v>#DIV/0!</v>
      </c>
    </row>
    <row r="23" customFormat="false" ht="15.75" hidden="false" customHeight="false" outlineLevel="0" collapsed="false">
      <c r="A23" s="174"/>
      <c r="B23" s="227" t="s">
        <v>36</v>
      </c>
      <c r="C23" s="82" t="n">
        <f aca="false">COUNTIFS([1]SurveyDATA!KX$1:KX$1048576,"Y",[1]SurveyDATA!KI$1:KI$1048576,"*RELOCATION*",[1]SurveyDATA!VX$1:VX$1048576,"*SAMPLING*",[1]SurveyDATA!E$1:E$1048576,"*SAOG*",[1]SurveyDATA!JR$1:JR$1048576,"*NEED*",[1]SurveyDATA!KL$1:KL$1048576,"*CAVITE*")</f>
        <v>0</v>
      </c>
      <c r="D23" s="242" t="n">
        <v>0</v>
      </c>
      <c r="E23" s="243" t="n">
        <v>0</v>
      </c>
      <c r="F23" s="242" t="n">
        <v>0</v>
      </c>
      <c r="G23" s="25" t="n">
        <f aca="false">COUNTIFS([1]SurveyDATA!KX$1:KX$1048576,"Y",[1]SurveyDATA!KI$1:KI$1048576,"*RELOCATION*",[1]SurveyDATA!VX$1:VX$1048576,"*SAMPLING*",[1]SurveyDATA!E$1:E$1048576,"*SAOG*",[1]SurveyDATA!JR$1:JR$1048576,"*NEED*",[1]SurveyDATA!KL$1:KL$1048576,"*BOCAUE*")</f>
        <v>0</v>
      </c>
      <c r="H23" s="221" t="e">
        <f aca="false">G23/G$110</f>
        <v>#DIV/0!</v>
      </c>
      <c r="I23" s="25" t="n">
        <f aca="false">COUNTIFS([1]SurveyDATA!KX$1:KX$1048576,"Y",[1]SurveyDATA!KI$1:KI$1048576,"*RELOCATION*",[1]SurveyDATA!VX$1:VX$1048576,"*SAMPLING*",[1]SurveyDATA!E$1:E$1048576,"*SAOG*",[1]SurveyDATA!JR$1:JR$1048576,"*NEED*",[1]SurveyDATA!KL$1:KL$1048576,"*GUIGUINTO*")</f>
        <v>0</v>
      </c>
      <c r="J23" s="221" t="n">
        <v>0</v>
      </c>
      <c r="K23" s="25" t="n">
        <f aca="false">COUNTIFS([1]SurveyDATA!KX$1:KX$1048576,"Y",[1]SurveyDATA!KI$1:KI$1048576,"*RELOCATION*",[1]SurveyDATA!VX$1:VX$1048576,"*SAMPLING*",[1]SurveyDATA!E$1:E$1048576,"*SAOG*",[1]SurveyDATA!JR$1:JR$1048576,"*NEED*",[1]SurveyDATA!KL$1:KL$1048576,"*PANDI*")</f>
        <v>0</v>
      </c>
      <c r="L23" s="221" t="n">
        <v>0</v>
      </c>
      <c r="M23" s="244" t="n">
        <f aca="false">COUNTIFS([1]SurveyDATA!KX$1:KX$1048576,"Y",[1]SurveyDATA!KI$1:KI$1048576,"*RELOCATION*",[1]SurveyDATA!VX$1:VX$1048576,"*SAMPLING*",[1]SurveyDATA!E$1:E$1048576,"*SAOG*",[1]SurveyDATA!JR$1:JR$1048576,"*NEED*",[1]SurveyDATA!KL$1:KL$1048576,"*SJDM*")</f>
        <v>0</v>
      </c>
      <c r="N23" s="221" t="n">
        <v>0</v>
      </c>
      <c r="O23" s="244" t="n">
        <f aca="false">COUNTIFS([1]SurveyDATA!KX$1:KX$1048576,"Y",[1]SurveyDATA!KI$1:KI$1048576,"*RELOCATION*",[1]SurveyDATA!VX$1:VX$1048576,"*SAMPLING*",[1]SurveyDATA!E$1:E$1048576,"*BUNDUKAN*",[1]SurveyDATA!JR$1:JR$1048576,"*NEED*",[1]SurveyDATA!KL$1:KL$1048576,"")</f>
        <v>0</v>
      </c>
      <c r="P23" s="245" t="n">
        <f aca="false">SUM(M23,K23,I23,G23,E23,C23)</f>
        <v>0</v>
      </c>
      <c r="Q23" s="221" t="e">
        <f aca="false">P23/P25</f>
        <v>#DIV/0!</v>
      </c>
    </row>
    <row r="24" customFormat="false" ht="15.75" hidden="false" customHeight="false" outlineLevel="0" collapsed="false">
      <c r="A24" s="174"/>
      <c r="B24" s="227" t="s">
        <v>37</v>
      </c>
      <c r="C24" s="82" t="n">
        <f aca="false">COUNTIFS([1]SurveyDATA!KX$1:KX$1048576,"Y",[1]SurveyDATA!KI$1:KI$1048576,"*RELOCATION*",[1]SurveyDATA!VX$1:VX$1048576,"*SAMPLING*",[1]SurveyDATA!E$1:E$1048576,"*IBAYO*",[1]SurveyDATA!JR$1:JR$1048576,"*NEED*",[1]SurveyDATA!KL$1:KL$1048576,"*CAVITE*")</f>
        <v>0</v>
      </c>
      <c r="D24" s="242" t="n">
        <v>0</v>
      </c>
      <c r="E24" s="243" t="n">
        <v>0</v>
      </c>
      <c r="F24" s="242" t="n">
        <v>0</v>
      </c>
      <c r="G24" s="25" t="n">
        <f aca="false">COUNTIFS([1]SurveyDATA!KX$1:KX$1048576,"Y",[1]SurveyDATA!KI$1:KI$1048576,"*RELOCATION*",[1]SurveyDATA!VX$1:VX$1048576,"*SAMPLING*",[1]SurveyDATA!E$1:E$1048576,"*IBAYO*",[1]SurveyDATA!JR$1:JR$1048576,"*NEED*",[1]SurveyDATA!KL$1:KL$1048576,"*BOCAUE*")</f>
        <v>0</v>
      </c>
      <c r="H24" s="221" t="e">
        <f aca="false">G24/G$110</f>
        <v>#DIV/0!</v>
      </c>
      <c r="I24" s="25" t="n">
        <f aca="false">COUNTIFS([1]SurveyDATA!KX$1:KX$1048576,"Y",[1]SurveyDATA!KI$1:KI$1048576,"*RELOCATION*",[1]SurveyDATA!VX$1:VX$1048576,"*SAMPLING*",[1]SurveyDATA!E$1:E$1048576,"*IBAYO*",[1]SurveyDATA!JR$1:JR$1048576,"*NEED*",[1]SurveyDATA!KL$1:KL$1048576,"*GUIGUINTO*")</f>
        <v>0</v>
      </c>
      <c r="J24" s="221" t="n">
        <v>0</v>
      </c>
      <c r="K24" s="25" t="n">
        <f aca="false">COUNTIFS([1]SurveyDATA!KX$1:KX$1048576,"Y",[1]SurveyDATA!KI$1:KI$1048576,"*RELOCATION*",[1]SurveyDATA!VX$1:VX$1048576,"*SAMPLING*",[1]SurveyDATA!E$1:E$1048576,"*IBAYO*",[1]SurveyDATA!JR$1:JR$1048576,"*NEED*",[1]SurveyDATA!KL$1:KL$1048576,"*PANDI*")</f>
        <v>0</v>
      </c>
      <c r="L24" s="221" t="n">
        <v>0</v>
      </c>
      <c r="M24" s="244" t="n">
        <f aca="false">COUNTIFS([1]SurveyDATA!KX$1:KX$1048576,"Y",[1]SurveyDATA!KI$1:KI$1048576,"*RELOCATION*",[1]SurveyDATA!VX$1:VX$1048576,"*SAMPLING*",[1]SurveyDATA!E$1:E$1048576,"*IBAYO*",[1]SurveyDATA!JR$1:JR$1048576,"*NEED*",[1]SurveyDATA!KL$1:KL$1048576,"*SJDM*")</f>
        <v>0</v>
      </c>
      <c r="N24" s="221" t="n">
        <v>0</v>
      </c>
      <c r="O24" s="244" t="n">
        <f aca="false">COUNTIFS([1]SurveyDATA!KX$1:KX$1048576,"Y",[1]SurveyDATA!KI$1:KI$1048576,"*RELOCATION*",[1]SurveyDATA!VX$1:VX$1048576,"*SAMPLING*",[1]SurveyDATA!E$1:E$1048576,"*BUNDUKAN*",[1]SurveyDATA!JR$1:JR$1048576,"*NEED*",[1]SurveyDATA!KL$1:KL$1048576,"")</f>
        <v>0</v>
      </c>
      <c r="P24" s="245" t="n">
        <f aca="false">SUM(M24,K24,I24,G24,E24,C24)</f>
        <v>0</v>
      </c>
      <c r="Q24" s="221" t="e">
        <f aca="false">P24/P25</f>
        <v>#DIV/0!</v>
      </c>
    </row>
    <row r="25" customFormat="false" ht="15.75" hidden="false" customHeight="false" outlineLevel="0" collapsed="false">
      <c r="A25" s="230"/>
      <c r="B25" s="231" t="s">
        <v>22</v>
      </c>
      <c r="C25" s="83" t="n">
        <f aca="false">COUNTIFS([1]SurveyDATA!KX$1:KX$1048576,"Y",[1]SurveyDATA!KI$1:KI$1048576,"*RELOCATION*",[1]SurveyDATA!VX$1:VX$1048576,"*SAMPLING*",[1]SurveyDATA!E$1:E$1048576,"*MARILAO*",[1]SurveyDATA!JR$1:JR$1048576,"*NEED*",[1]SurveyDATA!KL$1:KL$1048576,"*CAVITE*")</f>
        <v>0</v>
      </c>
      <c r="D25" s="234" t="n">
        <v>0</v>
      </c>
      <c r="E25" s="246" t="n">
        <v>0</v>
      </c>
      <c r="F25" s="234" t="n">
        <v>0</v>
      </c>
      <c r="G25" s="27" t="n">
        <f aca="false">COUNTIFS([1]SurveyDATA!KX$1:KX$1048576,"Y",[1]SurveyDATA!KI$1:KI$1048576,"*RELOCATION*",[1]SurveyDATA!VX$1:VX$1048576,"*SAMPLING*",[1]SurveyDATA!E$1:E$1048576,"*MARILAO*",[1]SurveyDATA!JR$1:JR$1048576,"*NEED*",[1]SurveyDATA!KL$1:KL$1048576,"*BOCAUE*")</f>
        <v>0</v>
      </c>
      <c r="H25" s="224" t="e">
        <f aca="false">G25/D77</f>
        <v>#DIV/0!</v>
      </c>
      <c r="I25" s="27" t="n">
        <f aca="false">COUNTIFS([1]SurveyDATA!KX$1:KX$1048576,"Y",[1]SurveyDATA!KI$1:KI$1048576,"*RELOCATION*",[1]SurveyDATA!VX$1:VX$1048576,"*SAMPLING*",[1]SurveyDATA!E$1:E$1048576,"*MARILAO*",[1]SurveyDATA!JR$1:JR$1048576,"*NEED*",[1]SurveyDATA!KL$1:KL$1048576,"*GUIGUINTO*")</f>
        <v>0</v>
      </c>
      <c r="J25" s="224" t="n">
        <v>0</v>
      </c>
      <c r="K25" s="27" t="n">
        <f aca="false">COUNTIFS([1]SurveyDATA!KX$1:KX$1048576,"Y",[1]SurveyDATA!KI$1:KI$1048576,"*RELOCATION*",[1]SurveyDATA!VX$1:VX$1048576,"*SAMPLING*",[1]SurveyDATA!E$1:E$1048576,"*MARILAO*",[1]SurveyDATA!JR$1:JR$1048576,"*NEED*",[1]SurveyDATA!KL$1:KL$1048576,"*PANDI*")</f>
        <v>0</v>
      </c>
      <c r="L25" s="224" t="e">
        <f aca="false">K25/H77</f>
        <v>#DIV/0!</v>
      </c>
      <c r="M25" s="247" t="n">
        <f aca="false">COUNTIFS([1]SurveyDATA!KX$1:KX$1048576,"Y",[1]SurveyDATA!KI$1:KI$1048576,"*RELOCATION*",[1]SurveyDATA!VX$1:VX$1048576,"*SAMPLING*",[1]SurveyDATA!E$1:E$1048576,"*MARILAO*",[1]SurveyDATA!JR$1:JR$1048576,"*NEED*",[1]SurveyDATA!KL$1:KL$1048576,"*SJDM*")</f>
        <v>0</v>
      </c>
      <c r="N25" s="224" t="n">
        <v>0</v>
      </c>
      <c r="O25" s="247" t="n">
        <f aca="false">COUNTIFS([1]SurveyDATA!KX$1:KX$1048576,"Y",[1]SurveyDATA!KI$1:KI$1048576,"*RELOCATION*",[1]SurveyDATA!VX$1:VX$1048576,"*SAMPLING*",[1]SurveyDATA!E$1:E$1048576,"*MARILAO*",[1]SurveyDATA!JR$1:JR$1048576,"*NEED*",[1]SurveyDATA!KL$1:KL$1048576,"")</f>
        <v>0</v>
      </c>
      <c r="P25" s="248" t="n">
        <f aca="false">SUM(O25,M25,K25,I25,G25,E25,C25)</f>
        <v>0</v>
      </c>
      <c r="Q25" s="224" t="e">
        <f aca="false">P25/P62</f>
        <v>#DIV/0!</v>
      </c>
    </row>
    <row r="26" customFormat="false" ht="15.75" hidden="false" customHeight="false" outlineLevel="0" collapsed="false">
      <c r="A26" s="174" t="s">
        <v>38</v>
      </c>
      <c r="B26" s="227" t="s">
        <v>39</v>
      </c>
      <c r="C26" s="82" t="n">
        <f aca="false">COUNTIFS([1]SurveyDATA!KX$1:KX$1048576,"Y",[1]SurveyDATA!KI$1:KI$1048576,"*RELOCATION*",[1]SurveyDATA!VX$1:VX$1048576,"*SAMPLING*",[1]SurveyDATA!E$1:E$1048576,"*PANDAYAN*",[1]SurveyDATA!JR$1:JR$1048576,"*NEED*",[1]SurveyDATA!KL$1:KL$1048576,"*CAVITE*")</f>
        <v>0</v>
      </c>
      <c r="D26" s="242" t="n">
        <v>0</v>
      </c>
      <c r="E26" s="243" t="n">
        <v>0</v>
      </c>
      <c r="F26" s="242" t="n">
        <v>0</v>
      </c>
      <c r="G26" s="25" t="n">
        <f aca="false">COUNTIFS([1]SurveyDATA!KX$1:KX$1048576,"Y",[1]SurveyDATA!KI$1:KI$1048576,"*RELOCATION*",[1]SurveyDATA!VX$1:VX$1048576,"*SAMPLING*",[1]SurveyDATA!E$1:E$1048576,"*PANDAYAN*",[1]SurveyDATA!JR$1:JR$1048576,"*NEED*",[1]SurveyDATA!KL$1:KL$1048576,"*BOCAUE*")</f>
        <v>0</v>
      </c>
      <c r="H26" s="221" t="n">
        <v>0</v>
      </c>
      <c r="I26" s="25" t="n">
        <f aca="false">COUNTIFS([1]SurveyDATA!KX$1:KX$1048576,"Y",[1]SurveyDATA!KI$1:KI$1048576,"*RELOCATION*",[1]SurveyDATA!VX$1:VX$1048576,"*SAMPLING*",[1]SurveyDATA!E$1:E$1048576,"*PANDAYAN*",[1]SurveyDATA!JR$1:JR$1048576,"*NEED*",[1]SurveyDATA!KL$1:KL$1048576,"*GUIGUINTO*")</f>
        <v>0</v>
      </c>
      <c r="J26" s="221" t="n">
        <v>0</v>
      </c>
      <c r="K26" s="25" t="n">
        <f aca="false">COUNTIFS([1]SurveyDATA!KX$1:KX$1048576,"Y",[1]SurveyDATA!KI$1:KI$1048576,"*RELOCATION*",[1]SurveyDATA!VX$1:VX$1048576,"*SAMPLING*",[1]SurveyDATA!E$1:E$1048576,"*PANDAYAN*",[1]SurveyDATA!JR$1:JR$1048576,"*NEED*",[1]SurveyDATA!KL$1:KL$1048576,"*PANDI*")</f>
        <v>0</v>
      </c>
      <c r="L26" s="221" t="n">
        <v>0</v>
      </c>
      <c r="M26" s="244" t="n">
        <f aca="false">COUNTIFS([1]SurveyDATA!KX$1:KX$1048576,"Y",[1]SurveyDATA!KI$1:KI$1048576,"*RELOCATION*",[1]SurveyDATA!VX$1:VX$1048576,"*SAMPLING*",[1]SurveyDATA!E$1:E$1048576,"*PANDAYAN*",[1]SurveyDATA!JR$1:JR$1048576,"*NEED*",[1]SurveyDATA!KL$1:KL$1048576,"*SJDM*")</f>
        <v>0</v>
      </c>
      <c r="N26" s="221" t="n">
        <v>0</v>
      </c>
      <c r="O26" s="244" t="n">
        <f aca="false">COUNTIFS([1]SurveyDATA!KX$1:KX$1048576,"Y",[1]SurveyDATA!KI$1:KI$1048576,"*RELOCATION*",[1]SurveyDATA!VX$1:VX$1048576,"*SAMPLING*",[1]SurveyDATA!E$1:E$1048576,"*PANDAYAN*",[1]SurveyDATA!JR$1:JR$1048576,"*NEED*",[1]SurveyDATA!KL$1:KL$1048576,"")</f>
        <v>0</v>
      </c>
      <c r="P26" s="245" t="n">
        <f aca="false">SUM(M26,K26,I26,G26,E26,C26)</f>
        <v>0</v>
      </c>
      <c r="Q26" s="221" t="n">
        <v>0</v>
      </c>
    </row>
    <row r="27" customFormat="false" ht="15.75" hidden="false" customHeight="false" outlineLevel="0" collapsed="false">
      <c r="A27" s="174"/>
      <c r="B27" s="227" t="s">
        <v>40</v>
      </c>
      <c r="C27" s="82" t="n">
        <f aca="false">COUNTIFS([1]SurveyDATA!KX$1:KX$1048576,"Y",[1]SurveyDATA!KI$1:KI$1048576,"*RELOCATION*",[1]SurveyDATA!VX$1:VX$1048576,"*SAMPLING*",[1]SurveyDATA!E$1:E$1048576,"*TUGATOG*",[1]SurveyDATA!JR$1:JR$1048576,"*NEED*",[1]SurveyDATA!KL$1:KL$1048576,"*CAVITE*")</f>
        <v>0</v>
      </c>
      <c r="D27" s="242" t="n">
        <v>0</v>
      </c>
      <c r="E27" s="243" t="n">
        <v>0</v>
      </c>
      <c r="F27" s="242" t="n">
        <v>0</v>
      </c>
      <c r="G27" s="25" t="n">
        <f aca="false">COUNTIFS([1]SurveyDATA!KX$1:KX$1048576,"Y",[1]SurveyDATA!KI$1:KI$1048576,"*RELOCATION*",[1]SurveyDATA!VX$1:VX$1048576,"*SAMPLING*",[1]SurveyDATA!E$1:E$1048576,"*TUGATOG*",[1]SurveyDATA!JR$1:JR$1048576,"*NEED*",[1]SurveyDATA!KL$1:KL$1048576,"*BOCAUE*")</f>
        <v>0</v>
      </c>
      <c r="H27" s="221" t="n">
        <v>0</v>
      </c>
      <c r="I27" s="25" t="n">
        <f aca="false">COUNTIFS([1]SurveyDATA!KX$1:KX$1048576,"Y",[1]SurveyDATA!KI$1:KI$1048576,"*RELOCATION*",[1]SurveyDATA!VX$1:VX$1048576,"*SAMPLING*",[1]SurveyDATA!E$1:E$1048576,"*TUGATOG*",[1]SurveyDATA!JR$1:JR$1048576,"*NEED*",[1]SurveyDATA!KL$1:KL$1048576,"*GUIGUINTO*")</f>
        <v>0</v>
      </c>
      <c r="J27" s="221" t="n">
        <v>0</v>
      </c>
      <c r="K27" s="25" t="n">
        <f aca="false">COUNTIFS([1]SurveyDATA!KX$1:KX$1048576,"Y",[1]SurveyDATA!KI$1:KI$1048576,"*RELOCATION*",[1]SurveyDATA!VX$1:VX$1048576,"*SAMPLING*",[1]SurveyDATA!E$1:E$1048576,"*TUGATOG*",[1]SurveyDATA!JR$1:JR$1048576,"*NEED*",[1]SurveyDATA!KL$1:KL$1048576,"*PANDI*")</f>
        <v>0</v>
      </c>
      <c r="L27" s="221" t="n">
        <v>0</v>
      </c>
      <c r="M27" s="244" t="n">
        <f aca="false">COUNTIFS([1]SurveyDATA!KX$1:KX$1048576,"Y",[1]SurveyDATA!KI$1:KI$1048576,"*RELOCATION*",[1]SurveyDATA!VX$1:VX$1048576,"*SAMPLING*",[1]SurveyDATA!E$1:E$1048576,"*TUGATOG*",[1]SurveyDATA!JR$1:JR$1048576,"*NEED*",[1]SurveyDATA!KL$1:KL$1048576,"*SJDM*")</f>
        <v>0</v>
      </c>
      <c r="N27" s="221" t="n">
        <v>0</v>
      </c>
      <c r="O27" s="244" t="n">
        <f aca="false">COUNTIFS([1]SurveyDATA!KX$1:KX$1048576,"Y",[1]SurveyDATA!KI$1:KI$1048576,"*RELOCATION*",[1]SurveyDATA!VX$1:VX$1048576,"*SAMPLING*",[1]SurveyDATA!E$1:E$1048576,"*TUGATOG*",[1]SurveyDATA!JR$1:JR$1048576,"*NEED*",[1]SurveyDATA!KL$1:KL$1048576,"")</f>
        <v>0</v>
      </c>
      <c r="P27" s="245" t="n">
        <f aca="false">SUM(M27,K27,I27,G27,E27,C27)</f>
        <v>0</v>
      </c>
      <c r="Q27" s="221" t="n">
        <v>0</v>
      </c>
    </row>
    <row r="28" customFormat="false" ht="15.75" hidden="false" customHeight="false" outlineLevel="0" collapsed="false">
      <c r="A28" s="174"/>
      <c r="B28" s="227" t="s">
        <v>41</v>
      </c>
      <c r="C28" s="82" t="n">
        <f aca="false">COUNTIFS([1]SurveyDATA!KX$1:KX$1048576,"Y",[1]SurveyDATA!KI$1:KI$1048576,"*RELOCATION*",[1]SurveyDATA!VX$1:VX$1048576,"*SAMPLING*",[1]SurveyDATA!E$1:E$1048576,"*BANCAL*",[1]SurveyDATA!JR$1:JR$1048576,"*NEED*",[1]SurveyDATA!KL$1:KL$1048576,"*CAVITE*")</f>
        <v>0</v>
      </c>
      <c r="D28" s="242" t="n">
        <v>0</v>
      </c>
      <c r="E28" s="243" t="n">
        <v>0</v>
      </c>
      <c r="F28" s="242" t="n">
        <v>0</v>
      </c>
      <c r="G28" s="25" t="n">
        <f aca="false">COUNTIFS([1]SurveyDATA!KX$1:KX$1048576,"Y",[1]SurveyDATA!KI$1:KI$1048576,"*RELOCATION*",[1]SurveyDATA!VX$1:VX$1048576,"*SAMPLING*",[1]SurveyDATA!E$1:E$1048576,"*BANCAL*",[1]SurveyDATA!JR$1:JR$1048576,"*NEED*",[1]SurveyDATA!KL$1:KL$1048576,"*BOCAUE*")</f>
        <v>0</v>
      </c>
      <c r="H28" s="221" t="n">
        <v>0</v>
      </c>
      <c r="I28" s="25" t="n">
        <f aca="false">COUNTIFS([1]SurveyDATA!KX$1:KX$1048576,"Y",[1]SurveyDATA!KI$1:KI$1048576,"*RELOCATION*",[1]SurveyDATA!VX$1:VX$1048576,"*SAMPLING*",[1]SurveyDATA!E$1:E$1048576,"*BANCAL*",[1]SurveyDATA!JR$1:JR$1048576,"*NEED*",[1]SurveyDATA!KL$1:KL$1048576,"*GUIGUINTO*")</f>
        <v>0</v>
      </c>
      <c r="J28" s="221" t="n">
        <v>0</v>
      </c>
      <c r="K28" s="25" t="n">
        <f aca="false">COUNTIFS([1]SurveyDATA!KX$1:KX$1048576,"Y",[1]SurveyDATA!KI$1:KI$1048576,"*RELOCATION*",[1]SurveyDATA!VX$1:VX$1048576,"*SAMPLING*",[1]SurveyDATA!E$1:E$1048576,"*BANCAL*",[1]SurveyDATA!JR$1:JR$1048576,"*NEED*",[1]SurveyDATA!KL$1:KL$1048576,"*PANDI*")</f>
        <v>0</v>
      </c>
      <c r="L28" s="221" t="n">
        <v>0</v>
      </c>
      <c r="M28" s="244" t="n">
        <f aca="false">COUNTIFS([1]SurveyDATA!KX$1:KX$1048576,"Y",[1]SurveyDATA!KI$1:KI$1048576,"*RELOCATION*",[1]SurveyDATA!VX$1:VX$1048576,"*SAMPLING*",[1]SurveyDATA!E$1:E$1048576,"*BANCAL*",[1]SurveyDATA!JR$1:JR$1048576,"*NEED*",[1]SurveyDATA!KL$1:KL$1048576,"*SJDM*")</f>
        <v>0</v>
      </c>
      <c r="N28" s="221" t="n">
        <v>0</v>
      </c>
      <c r="O28" s="244" t="n">
        <f aca="false">COUNTIFS([1]SurveyDATA!KX$1:KX$1048576,"Y",[1]SurveyDATA!KI$1:KI$1048576,"*RELOCATION*",[1]SurveyDATA!VX$1:VX$1048576,"*SAMPLING*",[1]SurveyDATA!E$1:E$1048576,"*BANCAL*",[1]SurveyDATA!JR$1:JR$1048576,"*NEED*",[1]SurveyDATA!KL$1:KL$1048576,"")</f>
        <v>0</v>
      </c>
      <c r="P28" s="245" t="n">
        <f aca="false">SUM(M28,K28,I28,G28,E28,C28)</f>
        <v>0</v>
      </c>
      <c r="Q28" s="221" t="n">
        <v>0</v>
      </c>
    </row>
    <row r="29" customFormat="false" ht="15.75" hidden="false" customHeight="false" outlineLevel="0" collapsed="false">
      <c r="A29" s="174"/>
      <c r="B29" s="227" t="s">
        <v>42</v>
      </c>
      <c r="C29" s="82" t="n">
        <f aca="false">COUNTIFS([1]SurveyDATA!KX$1:KX$1048576,"Y",[1]SurveyDATA!KI$1:KI$1048576,"*RELOCATION*",[1]SurveyDATA!VX$1:VX$1048576,"*SAMPLING*",[1]SurveyDATA!E$1:E$1048576,"*MALHACAN*",[1]SurveyDATA!JR$1:JR$1048576,"*NEED*",[1]SurveyDATA!KL$1:KL$1048576,"*CAVITE*")</f>
        <v>0</v>
      </c>
      <c r="D29" s="242" t="n">
        <v>0</v>
      </c>
      <c r="E29" s="243" t="n">
        <v>0</v>
      </c>
      <c r="F29" s="242" t="n">
        <v>0</v>
      </c>
      <c r="G29" s="25" t="n">
        <f aca="false">COUNTIFS([1]SurveyDATA!KX$1:KX$1048576,"Y",[1]SurveyDATA!KI$1:KI$1048576,"*RELOCATION*",[1]SurveyDATA!VX$1:VX$1048576,"*SAMPLING*",[1]SurveyDATA!E$1:E$1048576,"*MALHACAN*",[1]SurveyDATA!JR$1:JR$1048576,"*NEED*",[1]SurveyDATA!KL$1:KL$1048576,"*BOCAUE*")</f>
        <v>0</v>
      </c>
      <c r="H29" s="221" t="n">
        <v>0</v>
      </c>
      <c r="I29" s="25" t="n">
        <f aca="false">COUNTIFS([1]SurveyDATA!KX$1:KX$1048576,"Y",[1]SurveyDATA!KI$1:KI$1048576,"*RELOCATION*",[1]SurveyDATA!VX$1:VX$1048576,"*SAMPLING*",[1]SurveyDATA!E$1:E$1048576,"*MALHACAN*",[1]SurveyDATA!JR$1:JR$1048576,"*NEED*",[1]SurveyDATA!KL$1:KL$1048576,"*GUIGUINTO*")</f>
        <v>0</v>
      </c>
      <c r="J29" s="221" t="n">
        <v>0</v>
      </c>
      <c r="K29" s="25" t="n">
        <f aca="false">COUNTIFS([1]SurveyDATA!KX$1:KX$1048576,"Y",[1]SurveyDATA!KI$1:KI$1048576,"*RELOCATION*",[1]SurveyDATA!VX$1:VX$1048576,"*SAMPLING*",[1]SurveyDATA!E$1:E$1048576,"*MALHACAN*",[1]SurveyDATA!JR$1:JR$1048576,"*NEED*",[1]SurveyDATA!KL$1:KL$1048576,"*PANDI*")</f>
        <v>0</v>
      </c>
      <c r="L29" s="221" t="n">
        <v>0</v>
      </c>
      <c r="M29" s="244" t="n">
        <f aca="false">COUNTIFS([1]SurveyDATA!KX$1:KX$1048576,"Y",[1]SurveyDATA!KI$1:KI$1048576,"*RELOCATION*",[1]SurveyDATA!VX$1:VX$1048576,"*SAMPLING*",[1]SurveyDATA!E$1:E$1048576,"*MALHACAN*",[1]SurveyDATA!JR$1:JR$1048576,"*NEED*",[1]SurveyDATA!KL$1:KL$1048576,"*SJDM*")</f>
        <v>0</v>
      </c>
      <c r="N29" s="221" t="n">
        <v>0</v>
      </c>
      <c r="O29" s="244" t="n">
        <f aca="false">COUNTIFS([1]SurveyDATA!KX$1:KX$1048576,"Y",[1]SurveyDATA!KI$1:KI$1048576,"*RELOCATION*",[1]SurveyDATA!VX$1:VX$1048576,"*SAMPLING*",[1]SurveyDATA!E$1:E$1048576,"*MALHACAN*",[1]SurveyDATA!JR$1:JR$1048576,"*NEED*",[1]SurveyDATA!KL$1:KL$1048576,"")</f>
        <v>0</v>
      </c>
      <c r="P29" s="245" t="n">
        <f aca="false">SUM(M29,K29,I29,G29,E29,C29)</f>
        <v>0</v>
      </c>
      <c r="Q29" s="221" t="n">
        <v>0</v>
      </c>
    </row>
    <row r="30" customFormat="false" ht="15.75" hidden="false" customHeight="false" outlineLevel="0" collapsed="false">
      <c r="A30" s="230"/>
      <c r="B30" s="231" t="s">
        <v>22</v>
      </c>
      <c r="C30" s="83" t="n">
        <f aca="false">COUNTIFS([1]SurveyDATA!KX$1:KX$1048576,"Y",[1]SurveyDATA!KI$1:KI$1048576,"*RELOCATION*",[1]SurveyDATA!VX$1:VX$1048576,"*SAMPLING*",[1]SurveyDATA!E$1:E$1048576,"*MEYCAUAYAN*",[1]SurveyDATA!JR$1:JR$1048576,"*NEED*",[1]SurveyDATA!KL$1:KL$1048576,"*CAVITE*")</f>
        <v>0</v>
      </c>
      <c r="D30" s="234" t="n">
        <v>0</v>
      </c>
      <c r="E30" s="246" t="n">
        <v>0</v>
      </c>
      <c r="F30" s="234" t="n">
        <v>0</v>
      </c>
      <c r="G30" s="27" t="n">
        <f aca="false">COUNTIFS([1]SurveyDATA!KX$1:KX$1048576,"Y",[1]SurveyDATA!KI$1:KI$1048576,"*RELOCATION*",[1]SurveyDATA!VX$1:VX$1048576,"*SAMPLING*",[1]SurveyDATA!E$1:E$1048576,"*MEYCAUAYAN*",[1]SurveyDATA!JR$1:JR$1048576,"*NEED*",[1]SurveyDATA!KL$1:KL$1048576,"*BOCAUE*")</f>
        <v>0</v>
      </c>
      <c r="H30" s="224" t="n">
        <v>0</v>
      </c>
      <c r="I30" s="27" t="n">
        <f aca="false">COUNTIFS([1]SurveyDATA!KX$1:KX$1048576,"Y",[1]SurveyDATA!KI$1:KI$1048576,"*RELOCATION*",[1]SurveyDATA!VX$1:VX$1048576,"*SAMPLING*",[1]SurveyDATA!E$1:E$1048576,"*MEYCAUAYAN*",[1]SurveyDATA!JR$1:JR$1048576,"*NEED*",[1]SurveyDATA!KL$1:KL$1048576,"*GUIGUINTO*")</f>
        <v>0</v>
      </c>
      <c r="J30" s="224" t="n">
        <v>0</v>
      </c>
      <c r="K30" s="27" t="n">
        <f aca="false">COUNTIFS([1]SurveyDATA!KX$1:KX$1048576,"Y",[1]SurveyDATA!KI$1:KI$1048576,"*RELOCATION*",[1]SurveyDATA!VX$1:VX$1048576,"*SAMPLING*",[1]SurveyDATA!E$1:E$1048576,"*MEYCAUAYAN*",[1]SurveyDATA!JR$1:JR$1048576,"*NEED*",[1]SurveyDATA!KL$1:KL$1048576,"*PANDI*")</f>
        <v>0</v>
      </c>
      <c r="L30" s="224" t="n">
        <v>0</v>
      </c>
      <c r="M30" s="247" t="n">
        <f aca="false">COUNTIFS([1]SurveyDATA!KX$1:KX$1048576,"Y",[1]SurveyDATA!KI$1:KI$1048576,"*RELOCATION*",[1]SurveyDATA!VX$1:VX$1048576,"*SAMPLING*",[1]SurveyDATA!E$1:E$1048576,"*MEYCAUAYAN*",[1]SurveyDATA!JR$1:JR$1048576,"*NEED*",[1]SurveyDATA!KL$1:KL$1048576,"*SJDM*")</f>
        <v>0</v>
      </c>
      <c r="N30" s="224" t="n">
        <v>0</v>
      </c>
      <c r="O30" s="247" t="n">
        <f aca="false">COUNTIFS([1]SurveyDATA!KX$1:KX$1048576,"Y",[1]SurveyDATA!KI$1:KI$1048576,"*RELOCATION*",[1]SurveyDATA!VX$1:VX$1048576,"*SAMPLING*",[1]SurveyDATA!E$1:E$1048576,"*MEYCAUAYAN*",[1]SurveyDATA!JR$1:JR$1048576,"*NEED*",[1]SurveyDATA!KL$1:KL$1048576,"")</f>
        <v>0</v>
      </c>
      <c r="P30" s="248" t="n">
        <f aca="false">SUM(O30,M30,K30,I30,G30,E30,C30)</f>
        <v>0</v>
      </c>
      <c r="Q30" s="224" t="e">
        <f aca="false">P30/$P$147</f>
        <v>#DIV/0!</v>
      </c>
    </row>
    <row r="31" customFormat="false" ht="15.75" hidden="false" customHeight="false" outlineLevel="0" collapsed="false">
      <c r="A31" s="174" t="s">
        <v>43</v>
      </c>
      <c r="B31" s="227" t="s">
        <v>44</v>
      </c>
      <c r="C31" s="82" t="n">
        <f aca="false">COUNTIFS([1]SurveyDATA!KX$1:KX$1048576,"Y",[1]SurveyDATA!KI$1:KI$1048576,"*RELOCATION*",[1]SurveyDATA!VX$1:VX$1048576,"*SAMPLING*",[1]SurveyDATA!E$1:E$1048576,"*MALANDAY*",[1]SurveyDATA!JR$1:JR$1048576,"*NEED*",[1]SurveyDATA!KL$1:KL$1048576,"*CAVITE*")</f>
        <v>0</v>
      </c>
      <c r="D31" s="242" t="n">
        <v>0</v>
      </c>
      <c r="E31" s="243" t="n">
        <f aca="false">COUNTIFS([1]SurveyDATA!KX$1:KX$1048576,"Y",[1]SurveyDATA!KI$1:KI$1048576,"*RELOCATION*",[1]SurveyDATA!VX$1:VX$1048576,"*SAMPLING*",[1]SurveyDATA!E$1:E$1048576,"*MALANDAY*",[1]SurveyDATA!JR$1:JR$1048576,"*NEED*",[1]SurveyDATA!KL$1:KL$1048576,"*DISIPLINA*")</f>
        <v>0</v>
      </c>
      <c r="F31" s="242" t="e">
        <f aca="false">E31/E34</f>
        <v>#DIV/0!</v>
      </c>
      <c r="G31" s="25" t="n">
        <f aca="false">COUNTIFS([1]SurveyDATA!KX$1:KX$1048576,"Y",[1]SurveyDATA!KI$1:KI$1048576,"*RELOCATION*",[1]SurveyDATA!VX$1:VX$1048576,"*SAMPLING*",[1]SurveyDATA!E$1:E$1048576,"*MALANDAY*",[1]SurveyDATA!JR$1:JR$1048576,"*NEED*",[1]SurveyDATA!KL$1:KL$1048576,"*BOCAUE*")</f>
        <v>0</v>
      </c>
      <c r="H31" s="221" t="e">
        <f aca="false">G31/$G$119</f>
        <v>#DIV/0!</v>
      </c>
      <c r="I31" s="25" t="n">
        <f aca="false">COUNTIFS([1]SurveyDATA!KX$1:KX$1048576,"Y",[1]SurveyDATA!KI$1:KI$1048576,"*RELOCATION*",[1]SurveyDATA!VX$1:VX$1048576,"*SAMPLING*",[1]SurveyDATA!E$1:E$1048576,"*MALANDAY*",[1]SurveyDATA!JR$1:JR$1048576,"*NEED*",[1]SurveyDATA!KL$1:KL$1048576,"*GUIGUINTO*")</f>
        <v>0</v>
      </c>
      <c r="J31" s="221" t="e">
        <f aca="false">I31/$G$119</f>
        <v>#DIV/0!</v>
      </c>
      <c r="K31" s="25" t="n">
        <f aca="false">COUNTIFS([1]SurveyDATA!KX$1:KX$1048576,"Y",[1]SurveyDATA!KI$1:KI$1048576,"*RELOCATION*",[1]SurveyDATA!VX$1:VX$1048576,"*SAMPLING*",[1]SurveyDATA!E$1:E$1048576,"*MALANDAY*",[1]SurveyDATA!JR$1:JR$1048576,"*NEED*",[1]SurveyDATA!KL$1:KL$1048576,"*PANDI*")</f>
        <v>0</v>
      </c>
      <c r="L31" s="221" t="e">
        <f aca="false">K31/$G$119</f>
        <v>#DIV/0!</v>
      </c>
      <c r="M31" s="244" t="n">
        <f aca="false">COUNTIFS([1]SurveyDATA!KX$1:KX$1048576,"Y",[1]SurveyDATA!KI$1:KI$1048576,"*RELOCATION*",[1]SurveyDATA!VX$1:VX$1048576,"*SAMPLING*",[1]SurveyDATA!E$1:E$1048576,"*MALANDAY*",[1]SurveyDATA!JR$1:JR$1048576,"*NEED*",[1]SurveyDATA!KL$1:KL$1048576,"*SJDM*")</f>
        <v>0</v>
      </c>
      <c r="N31" s="221" t="e">
        <f aca="false">M31/$G$119</f>
        <v>#DIV/0!</v>
      </c>
      <c r="O31" s="244" t="n">
        <f aca="false">COUNTIFS([1]SurveyDATA!KX$1:KX$1048576,"Y",[1]SurveyDATA!KI$1:KI$1048576,"*RELOCATION*",[1]SurveyDATA!VX$1:VX$1048576,"*SAMPLING*",[1]SurveyDATA!E$1:E$1048576,"*MALANDAY*",[1]SurveyDATA!JR$1:JR$1048576,"*NEED*",[1]SurveyDATA!KL$1:KL$1048576,"")</f>
        <v>0</v>
      </c>
      <c r="P31" s="245" t="n">
        <f aca="false">SUM(M31,K31,I31,G31,E31,C31)</f>
        <v>0</v>
      </c>
      <c r="Q31" s="221" t="e">
        <f aca="false">P31/P34</f>
        <v>#DIV/0!</v>
      </c>
    </row>
    <row r="32" customFormat="false" ht="15.75" hidden="false" customHeight="false" outlineLevel="0" collapsed="false">
      <c r="A32" s="174"/>
      <c r="B32" s="227" t="s">
        <v>45</v>
      </c>
      <c r="C32" s="82" t="n">
        <f aca="false">COUNTIFS([1]SurveyDATA!KX$1:KX$1048576,"Y",[1]SurveyDATA!KI$1:KI$1048576,"*RELOCATION*",[1]SurveyDATA!VX$1:VX$1048576,"*SAMPLING*",[1]SurveyDATA!E$1:E$1048576,"*DALANDANAN*",[1]SurveyDATA!JR$1:JR$1048576,"*NEED*",[1]SurveyDATA!KL$1:KL$1048576,"*CAVITE*")</f>
        <v>0</v>
      </c>
      <c r="D32" s="242" t="n">
        <v>0</v>
      </c>
      <c r="E32" s="243" t="n">
        <f aca="false">COUNTIFS([1]SurveyDATA!KX$1:KX$1048576,"Y",[1]SurveyDATA!KI$1:KI$1048576,"*RELOCATION*",[1]SurveyDATA!VX$1:VX$1048576,"*SAMPLING*",[1]SurveyDATA!E$1:E$1048576,"*DALANDANAN*",[1]SurveyDATA!JR$1:JR$1048576,"*NEED*",[1]SurveyDATA!KL$1:KL$1048576,"*DISIPLINA*")</f>
        <v>0</v>
      </c>
      <c r="F32" s="242" t="e">
        <f aca="false">E32/E34</f>
        <v>#DIV/0!</v>
      </c>
      <c r="G32" s="25" t="n">
        <f aca="false">COUNTIFS([1]SurveyDATA!KX$1:KX$1048576,"Y",[1]SurveyDATA!KI$1:KI$1048576,"*RELOCATION*",[1]SurveyDATA!VX$1:VX$1048576,"*SAMPLING*",[1]SurveyDATA!E$1:E$1048576,"*DALANDANAN*",[1]SurveyDATA!JR$1:JR$1048576,"*NEED*",[1]SurveyDATA!KL$1:KL$1048576,"*BOCAUE*")</f>
        <v>0</v>
      </c>
      <c r="H32" s="221" t="e">
        <f aca="false">G32/$G$119</f>
        <v>#DIV/0!</v>
      </c>
      <c r="I32" s="25" t="n">
        <f aca="false">COUNTIFS([1]SurveyDATA!KX$1:KX$1048576,"Y",[1]SurveyDATA!KI$1:KI$1048576,"*RELOCATION*",[1]SurveyDATA!VX$1:VX$1048576,"*SAMPLING*",[1]SurveyDATA!E$1:E$1048576,"*DALANDANAN*",[1]SurveyDATA!JR$1:JR$1048576,"*NEED*",[1]SurveyDATA!KL$1:KL$1048576,"*GUIGUINTO*")</f>
        <v>0</v>
      </c>
      <c r="J32" s="221" t="e">
        <f aca="false">I32/$G$119</f>
        <v>#DIV/0!</v>
      </c>
      <c r="K32" s="25" t="n">
        <f aca="false">COUNTIFS([1]SurveyDATA!KX$1:KX$1048576,"Y",[1]SurveyDATA!KI$1:KI$1048576,"*RELOCATION*",[1]SurveyDATA!VX$1:VX$1048576,"*SAMPLING*",[1]SurveyDATA!E$1:E$1048576,"*DALANDANAN*",[1]SurveyDATA!JR$1:JR$1048576,"*NEED*",[1]SurveyDATA!KL$1:KL$1048576,"*PANDI*")</f>
        <v>0</v>
      </c>
      <c r="L32" s="221" t="e">
        <f aca="false">K32/$G$119</f>
        <v>#DIV/0!</v>
      </c>
      <c r="M32" s="244" t="n">
        <f aca="false">COUNTIFS([1]SurveyDATA!KX$1:KX$1048576,"Y",[1]SurveyDATA!KI$1:KI$1048576,"*RELOCATION*",[1]SurveyDATA!VX$1:VX$1048576,"*SAMPLING*",[1]SurveyDATA!E$1:E$1048576,"*DALANDANAN*",[1]SurveyDATA!JR$1:JR$1048576,"*NEED*",[1]SurveyDATA!KL$1:KL$1048576,"*SJDM*")</f>
        <v>0</v>
      </c>
      <c r="N32" s="221" t="e">
        <f aca="false">M32/$G$119</f>
        <v>#DIV/0!</v>
      </c>
      <c r="O32" s="244" t="n">
        <f aca="false">COUNTIFS([1]SurveyDATA!KX$1:KX$1048576,"Y",[1]SurveyDATA!KI$1:KI$1048576,"*RELOCATION*",[1]SurveyDATA!VX$1:VX$1048576,"*SAMPLING*",[1]SurveyDATA!E$1:E$1048576,"*DALANDANAN*",[1]SurveyDATA!JR$1:JR$1048576,"*NEED*",[1]SurveyDATA!KL$1:KL$1048576,"")</f>
        <v>0</v>
      </c>
      <c r="P32" s="245" t="n">
        <f aca="false">SUM(M32,K32,I32,G32,E32,C32)</f>
        <v>0</v>
      </c>
      <c r="Q32" s="221" t="e">
        <f aca="false">P32/P34</f>
        <v>#DIV/0!</v>
      </c>
    </row>
    <row r="33" customFormat="false" ht="15.75" hidden="false" customHeight="false" outlineLevel="0" collapsed="false">
      <c r="A33" s="174"/>
      <c r="B33" s="227" t="s">
        <v>46</v>
      </c>
      <c r="C33" s="82" t="n">
        <f aca="false">COUNTIFS([1]SurveyDATA!KX$1:KX$1048576,"Y",[1]SurveyDATA!KI$1:KI$1048576,"*RELOCATION*",[1]SurveyDATA!VX$1:VX$1048576,"*SAMPLING*",[1]SurveyDATA!E$1:E$1048576,"*MALINTA*",[1]SurveyDATA!JR$1:JR$1048576,"*NEED*",[1]SurveyDATA!KL$1:KL$1048576,"*CAVITE*")</f>
        <v>0</v>
      </c>
      <c r="D33" s="242" t="n">
        <v>0</v>
      </c>
      <c r="E33" s="243" t="n">
        <f aca="false">COUNTIFS([1]SurveyDATA!KX$1:KX$1048576,"Y",[1]SurveyDATA!KI$1:KI$1048576,"*RELOCATION*",[1]SurveyDATA!VX$1:VX$1048576,"*SAMPLING*",[1]SurveyDATA!E$1:E$1048576,"*MALINTA*",[1]SurveyDATA!JR$1:JR$1048576,"*NEED*",[1]SurveyDATA!KL$1:KL$1048576,"*DISIPLINA*")</f>
        <v>0</v>
      </c>
      <c r="F33" s="242" t="e">
        <f aca="false">E33/E34</f>
        <v>#DIV/0!</v>
      </c>
      <c r="G33" s="25" t="n">
        <f aca="false">COUNTIFS([1]SurveyDATA!KX$1:KX$1048576,"Y",[1]SurveyDATA!KI$1:KI$1048576,"*RELOCATION*",[1]SurveyDATA!VX$1:VX$1048576,"*SAMPLING*",[1]SurveyDATA!E$1:E$1048576,"*MALINTA*",[1]SurveyDATA!JR$1:JR$1048576,"*NEED*",[1]SurveyDATA!KL$1:KL$1048576,"*BOCAUE*")</f>
        <v>0</v>
      </c>
      <c r="H33" s="221" t="e">
        <f aca="false">G33/$G$119</f>
        <v>#DIV/0!</v>
      </c>
      <c r="I33" s="25" t="n">
        <f aca="false">COUNTIFS([1]SurveyDATA!KX$1:KX$1048576,"Y",[1]SurveyDATA!KI$1:KI$1048576,"*RELOCATION*",[1]SurveyDATA!VX$1:VX$1048576,"*SAMPLING*",[1]SurveyDATA!E$1:E$1048576,"*MALINTA*",[1]SurveyDATA!JR$1:JR$1048576,"*NEED*",[1]SurveyDATA!KL$1:KL$1048576,"*GUIGUINTO*")</f>
        <v>0</v>
      </c>
      <c r="J33" s="221" t="e">
        <f aca="false">I33/$G$119</f>
        <v>#DIV/0!</v>
      </c>
      <c r="K33" s="25" t="n">
        <f aca="false">COUNTIFS([1]SurveyDATA!KX$1:KX$1048576,"Y",[1]SurveyDATA!KI$1:KI$1048576,"*RELOCATION*",[1]SurveyDATA!VX$1:VX$1048576,"*SAMPLING*",[1]SurveyDATA!E$1:E$1048576,"*MALINTA*",[1]SurveyDATA!JR$1:JR$1048576,"*NEED*",[1]SurveyDATA!KL$1:KL$1048576,"*PANDI*")</f>
        <v>0</v>
      </c>
      <c r="L33" s="221" t="e">
        <f aca="false">K33/$G$119</f>
        <v>#DIV/0!</v>
      </c>
      <c r="M33" s="244" t="n">
        <f aca="false">COUNTIFS([1]SurveyDATA!KX$1:KX$1048576,"Y",[1]SurveyDATA!KI$1:KI$1048576,"*RELOCATION*",[1]SurveyDATA!VX$1:VX$1048576,"*SAMPLING*",[1]SurveyDATA!E$1:E$1048576,"*MALINTA*",[1]SurveyDATA!JR$1:JR$1048576,"*NEED*",[1]SurveyDATA!KL$1:KL$1048576,"*SJDM*")</f>
        <v>0</v>
      </c>
      <c r="N33" s="221" t="e">
        <f aca="false">M33/$G$119</f>
        <v>#DIV/0!</v>
      </c>
      <c r="O33" s="244" t="n">
        <f aca="false">COUNTIFS([1]SurveyDATA!KX$1:KX$1048576,"Y",[1]SurveyDATA!KI$1:KI$1048576,"*RELOCATION*",[1]SurveyDATA!VX$1:VX$1048576,"*SAMPLING*",[1]SurveyDATA!E$1:E$1048576,"*MALINTA*",[1]SurveyDATA!JR$1:JR$1048576,"*NEED*",[1]SurveyDATA!KL$1:KL$1048576,"")</f>
        <v>0</v>
      </c>
      <c r="P33" s="245" t="n">
        <f aca="false">SUM(M33,K33,I33,G33,E33,C33)</f>
        <v>0</v>
      </c>
      <c r="Q33" s="221" t="e">
        <f aca="false">P33/P34</f>
        <v>#DIV/0!</v>
      </c>
    </row>
    <row r="34" customFormat="false" ht="15.75" hidden="false" customHeight="false" outlineLevel="0" collapsed="false">
      <c r="A34" s="230"/>
      <c r="B34" s="231" t="s">
        <v>22</v>
      </c>
      <c r="C34" s="27" t="n">
        <f aca="false">COUNTIFS([1]SurveyDATA!KX$1:KX$1048576,"Y",[1]SurveyDATA!KI$1:KI$1048576,"*RELOCATION*",[1]SurveyDATA!VX$1:VX$1048576,"*SAMPLING*",[1]SurveyDATA!E$1:E$1048576,"*VALENZUELA*",[1]SurveyDATA!JR$1:JR$1048576,"*NEED*",[1]SurveyDATA!KL$1:KL$1048576,"*CAVITE*")</f>
        <v>0</v>
      </c>
      <c r="D34" s="224" t="n">
        <v>0</v>
      </c>
      <c r="E34" s="247" t="n">
        <f aca="false">COUNTIFS([1]SurveyDATA!KX$1:KX$1048576,"Y",[1]SurveyDATA!KI$1:KI$1048576,"*RELOCATION*",[1]SurveyDATA!VX$1:VX$1048576,"*SAMPLING*",[1]SurveyDATA!E$1:E$1048576,"*VALENZUELA*",[1]SurveyDATA!JR$1:JR$1048576,"*NEED*",[1]SurveyDATA!KL$1:KL$1048576,"*DISIPLINA*")</f>
        <v>0</v>
      </c>
      <c r="F34" s="224" t="e">
        <f aca="false">E34/P34</f>
        <v>#DIV/0!</v>
      </c>
      <c r="G34" s="27" t="n">
        <f aca="false">COUNTIFS([1]SurveyDATA!KX$1:KX$1048576,"Y",[1]SurveyDATA!KI$1:KI$1048576,"*RELOCATION*",[1]SurveyDATA!VX$1:VX$1048576,"*SAMPLING*",[1]SurveyDATA!E$1:E$1048576,"*VALENZUELA*",[1]SurveyDATA!JR$1:JR$1048576,"*NEED*",[1]SurveyDATA!KL$1:KL$1048576,"*BOCAUE*")</f>
        <v>0</v>
      </c>
      <c r="H34" s="224" t="e">
        <f aca="false">G34/$P$119</f>
        <v>#DIV/0!</v>
      </c>
      <c r="I34" s="27" t="n">
        <f aca="false">COUNTIFS([1]SurveyDATA!KX$1:KX$1048576,"Y",[1]SurveyDATA!KI$1:KI$1048576,"*RELOCATION*",[1]SurveyDATA!VX$1:VX$1048576,"*SAMPLING*",[1]SurveyDATA!E$1:E$1048576,"*VALENZUELA*",[1]SurveyDATA!JR$1:JR$1048576,"*NEED*",[1]SurveyDATA!KL$1:KL$1048576,"*GUIGUINTO*")</f>
        <v>0</v>
      </c>
      <c r="J34" s="224" t="e">
        <f aca="false">I34/$P$119</f>
        <v>#DIV/0!</v>
      </c>
      <c r="K34" s="27" t="n">
        <f aca="false">COUNTIFS([1]SurveyDATA!KX$1:KX$1048576,"Y",[1]SurveyDATA!KI$1:KI$1048576,"*RELOCATION*",[1]SurveyDATA!VX$1:VX$1048576,"*SAMPLING*",[1]SurveyDATA!E$1:E$1048576,"*VALENZUELA*",[1]SurveyDATA!JR$1:JR$1048576,"*NEED*",[1]SurveyDATA!KL$1:KL$1048576,"*PANDI*")</f>
        <v>0</v>
      </c>
      <c r="L34" s="224" t="e">
        <f aca="false">K34/$P$119</f>
        <v>#DIV/0!</v>
      </c>
      <c r="M34" s="247" t="n">
        <f aca="false">COUNTIFS([1]SurveyDATA!KX$1:KX$1048576,"Y",[1]SurveyDATA!KI$1:KI$1048576,"*RELOCATION*",[1]SurveyDATA!VX$1:VX$1048576,"*SAMPLING*",[1]SurveyDATA!E$1:E$1048576,"*VALENZUELA*",[1]SurveyDATA!JR$1:JR$1048576,"*NEED*",[1]SurveyDATA!KL$1:KL$1048576,"*SJDM*")</f>
        <v>0</v>
      </c>
      <c r="N34" s="224" t="e">
        <f aca="false">M34/$P$119</f>
        <v>#DIV/0!</v>
      </c>
      <c r="O34" s="247" t="n">
        <f aca="false">COUNTIFS([1]SurveyDATA!KX$1:KX$1048576,"Y",[1]SurveyDATA!KI$1:KI$1048576,"*RELOCATION*",[1]SurveyDATA!VX$1:VX$1048576,"*SAMPLING*",[1]SurveyDATA!E$1:E$1048576,"*VALENZUELA*",[1]SurveyDATA!JR$1:JR$1048576,"*NEED*",[1]SurveyDATA!KL$1:KL$1048576,"")</f>
        <v>0</v>
      </c>
      <c r="P34" s="248" t="n">
        <f aca="false">SUM(O34,M34,K34,I34,G34,E34,C34)</f>
        <v>0</v>
      </c>
      <c r="Q34" s="224" t="e">
        <f aca="false">P34/P62</f>
        <v>#DIV/0!</v>
      </c>
    </row>
    <row r="35" customFormat="false" ht="15.75" hidden="false" customHeight="false" outlineLevel="0" collapsed="false">
      <c r="A35" s="174" t="s">
        <v>47</v>
      </c>
      <c r="B35" s="227" t="s">
        <v>91</v>
      </c>
      <c r="C35" s="82" t="n">
        <f aca="false">COUNTIFS([1]SurveyDATA!KX$1:KX$1048576,"Y",[1]SurveyDATA!KI$1:KI$1048576,"*RELOCATION*",[1]SurveyDATA!VX$1:VX$1048576,"*SAMPLING*",[1]SurveyDATA!E$1:E$1048576,"*BRGY.09*",[1]SurveyDATA!JR$1:JR$1048576,"*NEED*",[1]SurveyDATA!KL$1:KL$1048576,"*CAVITE*")</f>
        <v>0</v>
      </c>
      <c r="D35" s="242" t="e">
        <f aca="false">C35/$C$129</f>
        <v>#DIV/0!</v>
      </c>
      <c r="E35" s="243" t="n">
        <f aca="false">COUNTIFS([1]SurveyDATA!KX$1:KX$1048576,"Y",[1]SurveyDATA!KI$1:KI$1048576,"*RELOCATION*",[1]SurveyDATA!VX$1:VX$1048576,"*SAMPLING*",[1]SurveyDATA!E$1:E$1048576,"*BRGY.09*",[1]SurveyDATA!JR$1:JR$1048576,"*NEED*",[1]SurveyDATA!KL$1:KL$1048576,"*DISIPLINA*")</f>
        <v>0</v>
      </c>
      <c r="F35" s="242" t="e">
        <f aca="false">E35/$E$129</f>
        <v>#DIV/0!</v>
      </c>
      <c r="G35" s="25" t="n">
        <f aca="false">COUNTIFS([1]SurveyDATA!KX$1:KX$1048576,"Y",[1]SurveyDATA!KI$1:KI$1048576,"*RELOCATION*",[1]SurveyDATA!VX$1:VX$1048576,"*SAMPLING*",[1]SurveyDATA!E$1:E$1048576,"*BRGY.09*",[1]SurveyDATA!JR$1:JR$1048576,"*NEED*",[1]SurveyDATA!KL$1:KL$1048576,"*BOCAUE*")</f>
        <v>0</v>
      </c>
      <c r="H35" s="221" t="e">
        <f aca="false">G35/$G$129</f>
        <v>#DIV/0!</v>
      </c>
      <c r="I35" s="25" t="n">
        <f aca="false">COUNTIFS([1]SurveyDATA!KX$1:KX$1048576,"Y",[1]SurveyDATA!KI$1:KI$1048576,"*RELOCATION*",[1]SurveyDATA!VX$1:VX$1048576,"*SAMPLING*",[1]SurveyDATA!E$1:E$1048576,"*BRGY.09*",[1]SurveyDATA!JR$1:JR$1048576,"*NEED*",[1]SurveyDATA!KL$1:KL$1048576,"*GUIGUINTO*")</f>
        <v>0</v>
      </c>
      <c r="J35" s="221" t="n">
        <v>0</v>
      </c>
      <c r="K35" s="25" t="n">
        <f aca="false">COUNTIFS([1]SurveyDATA!KX$1:KX$1048576,"Y",[1]SurveyDATA!KI$1:KI$1048576,"*RELOCATION*",[1]SurveyDATA!VX$1:VX$1048576,"*SAMPLING*",[1]SurveyDATA!E$1:E$1048576,"*BRGY.09*",[1]SurveyDATA!JR$1:JR$1048576,"*NEED*",[1]SurveyDATA!KL$1:KL$1048576,"*PANDI*")</f>
        <v>0</v>
      </c>
      <c r="L35" s="221" t="e">
        <f aca="false">K35/$K$129</f>
        <v>#DIV/0!</v>
      </c>
      <c r="M35" s="244" t="n">
        <f aca="false">COUNTIFS([1]SurveyDATA!KX$1:KX$1048576,"Y",[1]SurveyDATA!KI$1:KI$1048576,"*RELOCATION*",[1]SurveyDATA!VX$1:VX$1048576,"*SAMPLING*",[1]SurveyDATA!E$1:E$1048576,"*BRGY.09*",[1]SurveyDATA!JR$1:JR$1048576,"*NEED*",[1]SurveyDATA!KL$1:KL$1048576,"*SJDM*")</f>
        <v>0</v>
      </c>
      <c r="N35" s="221" t="e">
        <f aca="false">L35/$M$129</f>
        <v>#DIV/0!</v>
      </c>
      <c r="O35" s="244" t="n">
        <f aca="false">COUNTIFS([1]SurveyDATA!KX$1:KX$1048576,"Y",[1]SurveyDATA!KI$1:KI$1048576,"*RELOCATION*",[1]SurveyDATA!VX$1:VX$1048576,"*SAMPLING*",[1]SurveyDATA!E$1:E$1048576,"*BRGY.09*",[1]SurveyDATA!JR$1:JR$1048576,"*NEED*",[1]SurveyDATA!KL$1:KL$1048576,"UNDECIDED")</f>
        <v>0</v>
      </c>
      <c r="P35" s="245" t="n">
        <f aca="false">SUM(M35,K35,I35,G35,E35,C35)</f>
        <v>0</v>
      </c>
      <c r="Q35" s="221" t="e">
        <f aca="false">P35/$P$129</f>
        <v>#DIV/0!</v>
      </c>
    </row>
    <row r="36" customFormat="false" ht="15.75" hidden="false" customHeight="false" outlineLevel="0" collapsed="false">
      <c r="A36" s="174"/>
      <c r="B36" s="227" t="s">
        <v>92</v>
      </c>
      <c r="C36" s="82" t="n">
        <f aca="false">COUNTIFS([1]SurveyDATA!KX$1:KX$1048576,"Y",[1]SurveyDATA!KI$1:KI$1048576,"*RELOCATION*",[1]SurveyDATA!VX$1:VX$1048576,"*SAMPLING*",[1]SurveyDATA!E$1:E$1048576,"*BRGY.15 CAL*",[1]SurveyDATA!JR$1:JR$1048576,"*NEED*",[1]SurveyDATA!KL$1:KL$1048576,"*CAVITE*")</f>
        <v>0</v>
      </c>
      <c r="D36" s="242" t="e">
        <f aca="false">C36/$C$129</f>
        <v>#DIV/0!</v>
      </c>
      <c r="E36" s="243" t="n">
        <f aca="false">COUNTIFS([1]SurveyDATA!KX$1:KX$1048576,"Y",[1]SurveyDATA!KI$1:KI$1048576,"*RELOCATION*",[1]SurveyDATA!VX$1:VX$1048576,"*SAMPLING*",[1]SurveyDATA!E$1:E$1048576,"*BRGY.15 CAL*",[1]SurveyDATA!JR$1:JR$1048576,"*NEED*",[1]SurveyDATA!KL$1:KL$1048576,"*DISIPLINA*")</f>
        <v>0</v>
      </c>
      <c r="F36" s="242" t="e">
        <f aca="false">E36/$E$129</f>
        <v>#DIV/0!</v>
      </c>
      <c r="G36" s="25" t="n">
        <f aca="false">COUNTIFS([1]SurveyDATA!KX$1:KX$1048576,"Y",[1]SurveyDATA!KI$1:KI$1048576,"*RELOCATION*",[1]SurveyDATA!VX$1:VX$1048576,"*SAMPLING*",[1]SurveyDATA!E$1:E$1048576,"*BRGY.15 CAL*",[1]SurveyDATA!JR$1:JR$1048576,"*NEED*",[1]SurveyDATA!KL$1:KL$1048576,"*BOCAUE*")</f>
        <v>0</v>
      </c>
      <c r="H36" s="221" t="e">
        <f aca="false">G36/$G$129</f>
        <v>#DIV/0!</v>
      </c>
      <c r="I36" s="25" t="n">
        <f aca="false">COUNTIFS([1]SurveyDATA!KX$1:KX$1048576,"Y",[1]SurveyDATA!KI$1:KI$1048576,"*RELOCATION*",[1]SurveyDATA!VX$1:VX$1048576,"*SAMPLING*",[1]SurveyDATA!E$1:E$1048576,"*BRGY.15 CAL*",[1]SurveyDATA!JR$1:JR$1048576,"*NEED*",[1]SurveyDATA!KL$1:KL$1048576,"*GUIGUINTO*")</f>
        <v>0</v>
      </c>
      <c r="J36" s="221" t="n">
        <v>0</v>
      </c>
      <c r="K36" s="25" t="n">
        <f aca="false">COUNTIFS([1]SurveyDATA!KX$1:KX$1048576,"Y",[1]SurveyDATA!KI$1:KI$1048576,"*RELOCATION*",[1]SurveyDATA!VX$1:VX$1048576,"*SAMPLING*",[1]SurveyDATA!E$1:E$1048576,"*BRGY.15 CAL*",[1]SurveyDATA!JR$1:JR$1048576,"*NEED*",[1]SurveyDATA!KL$1:KL$1048576,"*PANDI*")</f>
        <v>0</v>
      </c>
      <c r="L36" s="221" t="e">
        <f aca="false">K36/$K$129</f>
        <v>#DIV/0!</v>
      </c>
      <c r="M36" s="244" t="n">
        <f aca="false">COUNTIFS([1]SurveyDATA!KX$1:KX$1048576,"Y",[1]SurveyDATA!KI$1:KI$1048576,"*RELOCATION*",[1]SurveyDATA!VX$1:VX$1048576,"*SAMPLING*",[1]SurveyDATA!E$1:E$1048576,"*BRGY.15 CAL*",[1]SurveyDATA!JR$1:JR$1048576,"*NEED*",[1]SurveyDATA!KL$1:KL$1048576,"*SJDM*")</f>
        <v>0</v>
      </c>
      <c r="N36" s="221" t="e">
        <f aca="false">L36/$M$129</f>
        <v>#DIV/0!</v>
      </c>
      <c r="O36" s="244" t="n">
        <f aca="false">COUNTIFS([1]SurveyDATA!KX$1:KX$1048576,"Y",[1]SurveyDATA!KI$1:KI$1048576,"*RELOCATION*",[1]SurveyDATA!VX$1:VX$1048576,"*SAMPLING*",[1]SurveyDATA!E$1:E$1048576,"*BRGY.15 CAL*",[1]SurveyDATA!JR$1:JR$1048576,"*NEED*",[1]SurveyDATA!KL$1:KL$1048576,"UNDECIDED")</f>
        <v>0</v>
      </c>
      <c r="P36" s="245" t="n">
        <f aca="false">SUM(M36,K36,I36,G36,E36,C36)</f>
        <v>0</v>
      </c>
      <c r="Q36" s="221" t="e">
        <f aca="false">P36/$P$129</f>
        <v>#DIV/0!</v>
      </c>
    </row>
    <row r="37" customFormat="false" ht="15.75" hidden="false" customHeight="false" outlineLevel="0" collapsed="false">
      <c r="A37" s="174"/>
      <c r="B37" s="227" t="s">
        <v>93</v>
      </c>
      <c r="C37" s="82" t="n">
        <f aca="false">COUNTIFS([1]SurveyDATA!KX$1:KX$1048576,"Y",[1]SurveyDATA!KI$1:KI$1048576,"*RELOCATION*",[1]SurveyDATA!VX$1:VX$1048576,"*SAMPLING*",[1]SurveyDATA!E$1:E$1048576,"*BRGY.17*",[1]SurveyDATA!JR$1:JR$1048576,"*NEED*",[1]SurveyDATA!KL$1:KL$1048576,"*CAVITE*")</f>
        <v>0</v>
      </c>
      <c r="D37" s="242" t="e">
        <f aca="false">C37/$C$129</f>
        <v>#DIV/0!</v>
      </c>
      <c r="E37" s="243" t="n">
        <f aca="false">COUNTIFS([1]SurveyDATA!KX$1:KX$1048576,"Y",[1]SurveyDATA!KI$1:KI$1048576,"*RELOCATION*",[1]SurveyDATA!VX$1:VX$1048576,"*SAMPLING*",[1]SurveyDATA!E$1:E$1048576,"*BRGY.17*",[1]SurveyDATA!JR$1:JR$1048576,"*NEED*",[1]SurveyDATA!KL$1:KL$1048576,"*DISIPLINA*")</f>
        <v>0</v>
      </c>
      <c r="F37" s="242" t="e">
        <f aca="false">E37/$E$129</f>
        <v>#DIV/0!</v>
      </c>
      <c r="G37" s="25" t="n">
        <f aca="false">COUNTIFS([1]SurveyDATA!KX$1:KX$1048576,"Y",[1]SurveyDATA!KI$1:KI$1048576,"*RELOCATION*",[1]SurveyDATA!VX$1:VX$1048576,"*SAMPLING*",[1]SurveyDATA!E$1:E$1048576,"*BRGY.17*",[1]SurveyDATA!JR$1:JR$1048576,"*NEED*",[1]SurveyDATA!KL$1:KL$1048576,"*BOCAUE*")</f>
        <v>0</v>
      </c>
      <c r="H37" s="221" t="e">
        <f aca="false">G37/$G$129</f>
        <v>#DIV/0!</v>
      </c>
      <c r="I37" s="25" t="n">
        <f aca="false">COUNTIFS([1]SurveyDATA!KX$1:KX$1048576,"Y",[1]SurveyDATA!KI$1:KI$1048576,"*RELOCATION*",[1]SurveyDATA!VX$1:VX$1048576,"*SAMPLING*",[1]SurveyDATA!E$1:E$1048576,"*BRGY.17*",[1]SurveyDATA!JR$1:JR$1048576,"*NEED*",[1]SurveyDATA!KL$1:KL$1048576,"*GUIGUINTO*")</f>
        <v>0</v>
      </c>
      <c r="J37" s="221" t="n">
        <v>0</v>
      </c>
      <c r="K37" s="25" t="n">
        <f aca="false">COUNTIFS([1]SurveyDATA!KX$1:KX$1048576,"Y",[1]SurveyDATA!KI$1:KI$1048576,"*RELOCATION*",[1]SurveyDATA!VX$1:VX$1048576,"*SAMPLING*",[1]SurveyDATA!E$1:E$1048576,"*BRGY.17*",[1]SurveyDATA!JR$1:JR$1048576,"*NEED*",[1]SurveyDATA!KL$1:KL$1048576,"*PANDI*")</f>
        <v>0</v>
      </c>
      <c r="L37" s="221" t="e">
        <f aca="false">K37/$K$129</f>
        <v>#DIV/0!</v>
      </c>
      <c r="M37" s="244" t="n">
        <f aca="false">COUNTIFS([1]SurveyDATA!KX$1:KX$1048576,"Y",[1]SurveyDATA!KI$1:KI$1048576,"*RELOCATION*",[1]SurveyDATA!VX$1:VX$1048576,"*SAMPLING*",[1]SurveyDATA!E$1:E$1048576,"*BRGY.17*",[1]SurveyDATA!JR$1:JR$1048576,"*NEED*",[1]SurveyDATA!KL$1:KL$1048576,"*SJDM*")</f>
        <v>0</v>
      </c>
      <c r="N37" s="221" t="e">
        <f aca="false">L37/$M$129</f>
        <v>#DIV/0!</v>
      </c>
      <c r="O37" s="244" t="n">
        <f aca="false">COUNTIFS([1]SurveyDATA!KX$1:KX$1048576,"Y",[1]SurveyDATA!KI$1:KI$1048576,"*RELOCATION*",[1]SurveyDATA!VX$1:VX$1048576,"*SAMPLING*",[1]SurveyDATA!E$1:E$1048576,"*BRGY.17*",[1]SurveyDATA!JR$1:JR$1048576,"*NEED*",[1]SurveyDATA!KL$1:KL$1048576,"UNDECIDED")</f>
        <v>0</v>
      </c>
      <c r="P37" s="245" t="n">
        <f aca="false">SUM(M37,K37,I37,G37,E37,C37)</f>
        <v>0</v>
      </c>
      <c r="Q37" s="221" t="e">
        <f aca="false">P37/$P$129</f>
        <v>#DIV/0!</v>
      </c>
    </row>
    <row r="38" customFormat="false" ht="15.75" hidden="false" customHeight="false" outlineLevel="0" collapsed="false">
      <c r="A38" s="174"/>
      <c r="B38" s="227" t="s">
        <v>94</v>
      </c>
      <c r="C38" s="82" t="n">
        <f aca="false">COUNTIFS([1]SurveyDATA!KX$1:KX$1048576,"Y",[1]SurveyDATA!KI$1:KI$1048576,"*RELOCATION*",[1]SurveyDATA!VX$1:VX$1048576,"*SAMPLING*",[1]SurveyDATA!E$1:E$1048576,"*BRGY.19 CAL*",[1]SurveyDATA!JR$1:JR$1048576,"*NEED*",[1]SurveyDATA!KL$1:KL$1048576,"*CAVITE*")</f>
        <v>0</v>
      </c>
      <c r="D38" s="242" t="e">
        <f aca="false">C38/$C$129</f>
        <v>#DIV/0!</v>
      </c>
      <c r="E38" s="243" t="n">
        <f aca="false">COUNTIFS([1]SurveyDATA!KX$1:KX$1048576,"Y",[1]SurveyDATA!KI$1:KI$1048576,"*RELOCATION*",[1]SurveyDATA!VX$1:VX$1048576,"*SAMPLING*",[1]SurveyDATA!E$1:E$1048576,"*BRGY.19 CAL*",[1]SurveyDATA!JR$1:JR$1048576,"*NEED*",[1]SurveyDATA!KL$1:KL$1048576,"*DISIPLINA*")</f>
        <v>0</v>
      </c>
      <c r="F38" s="242" t="e">
        <f aca="false">E38/$E$129</f>
        <v>#DIV/0!</v>
      </c>
      <c r="G38" s="25" t="n">
        <f aca="false">COUNTIFS([1]SurveyDATA!KX$1:KX$1048576,"Y",[1]SurveyDATA!KI$1:KI$1048576,"*RELOCATION*",[1]SurveyDATA!VX$1:VX$1048576,"*SAMPLING*",[1]SurveyDATA!E$1:E$1048576,"*BRGY.19 CAL*",[1]SurveyDATA!JR$1:JR$1048576,"*NEED*",[1]SurveyDATA!KL$1:KL$1048576,"*BOCAUE*")</f>
        <v>0</v>
      </c>
      <c r="H38" s="221" t="e">
        <f aca="false">G38/$G$129</f>
        <v>#DIV/0!</v>
      </c>
      <c r="I38" s="25" t="n">
        <f aca="false">COUNTIFS([1]SurveyDATA!KX$1:KX$1048576,"Y",[1]SurveyDATA!KI$1:KI$1048576,"*RELOCATION*",[1]SurveyDATA!VX$1:VX$1048576,"*SAMPLING*",[1]SurveyDATA!E$1:E$1048576,"*BRGY.19 CAL*",[1]SurveyDATA!JR$1:JR$1048576,"*NEED*",[1]SurveyDATA!KL$1:KL$1048576,"*GUIGUINTO*")</f>
        <v>0</v>
      </c>
      <c r="J38" s="221" t="n">
        <v>0</v>
      </c>
      <c r="K38" s="25" t="n">
        <f aca="false">COUNTIFS([1]SurveyDATA!KX$1:KX$1048576,"Y",[1]SurveyDATA!KI$1:KI$1048576,"*RELOCATION*",[1]SurveyDATA!VX$1:VX$1048576,"*SAMPLING*",[1]SurveyDATA!E$1:E$1048576,"*BRGY.19 CAL*",[1]SurveyDATA!JR$1:JR$1048576,"*NEED*",[1]SurveyDATA!KL$1:KL$1048576,"*PANDI*")</f>
        <v>0</v>
      </c>
      <c r="L38" s="221" t="e">
        <f aca="false">K38/$K$129</f>
        <v>#DIV/0!</v>
      </c>
      <c r="M38" s="244" t="n">
        <f aca="false">COUNTIFS([1]SurveyDATA!KX$1:KX$1048576,"Y",[1]SurveyDATA!KI$1:KI$1048576,"*RELOCATION*",[1]SurveyDATA!VX$1:VX$1048576,"*SAMPLING*",[1]SurveyDATA!E$1:E$1048576,"*BRGY.19 CAL*",[1]SurveyDATA!JR$1:JR$1048576,"*NEED*",[1]SurveyDATA!KL$1:KL$1048576,"*SJDM*")</f>
        <v>0</v>
      </c>
      <c r="N38" s="221" t="e">
        <f aca="false">L38/$M$129</f>
        <v>#DIV/0!</v>
      </c>
      <c r="O38" s="244" t="n">
        <f aca="false">COUNTIFS([1]SurveyDATA!KX$1:KX$1048576,"Y",[1]SurveyDATA!KI$1:KI$1048576,"*RELOCATION*",[1]SurveyDATA!VX$1:VX$1048576,"*SAMPLING*",[1]SurveyDATA!E$1:E$1048576,"*BRGY.19 CAL*",[1]SurveyDATA!JR$1:JR$1048576,"*NEED*",[1]SurveyDATA!KL$1:KL$1048576,"UNDECIDED")</f>
        <v>0</v>
      </c>
      <c r="P38" s="245" t="n">
        <f aca="false">SUM(M38,K38,I38,G38,E38,C38)</f>
        <v>0</v>
      </c>
      <c r="Q38" s="221" t="e">
        <f aca="false">P38/$P$129</f>
        <v>#DIV/0!</v>
      </c>
    </row>
    <row r="39" customFormat="false" ht="15.75" hidden="false" customHeight="false" outlineLevel="0" collapsed="false">
      <c r="A39" s="174"/>
      <c r="B39" s="227" t="s">
        <v>95</v>
      </c>
      <c r="C39" s="82" t="n">
        <f aca="false">COUNTIFS([1]SurveyDATA!KX$1:KX$1048576,"Y",[1]SurveyDATA!KI$1:KI$1048576,"*RELOCATION*",[1]SurveyDATA!VX$1:VX$1048576,"*SAMPLING*",[1]SurveyDATA!E$1:E$1048576,"*BRGY.21*",[1]SurveyDATA!JR$1:JR$1048576,"*NEED*",[1]SurveyDATA!KL$1:KL$1048576,"*CAVITE*")</f>
        <v>0</v>
      </c>
      <c r="D39" s="242" t="e">
        <f aca="false">C39/$C$129</f>
        <v>#DIV/0!</v>
      </c>
      <c r="E39" s="243" t="n">
        <f aca="false">COUNTIFS([1]SurveyDATA!KX$1:KX$1048576,"Y",[1]SurveyDATA!KI$1:KI$1048576,"*RELOCATION*",[1]SurveyDATA!VX$1:VX$1048576,"*SAMPLING*",[1]SurveyDATA!E$1:E$1048576,"*BRGY.21*",[1]SurveyDATA!JR$1:JR$1048576,"*NEED*",[1]SurveyDATA!KL$1:KL$1048576,"*DISIPLINA*")</f>
        <v>0</v>
      </c>
      <c r="F39" s="242" t="e">
        <f aca="false">E39/$E$129</f>
        <v>#DIV/0!</v>
      </c>
      <c r="G39" s="25" t="n">
        <f aca="false">COUNTIFS([1]SurveyDATA!KX$1:KX$1048576,"Y",[1]SurveyDATA!KI$1:KI$1048576,"*RELOCATION*",[1]SurveyDATA!VX$1:VX$1048576,"*SAMPLING*",[1]SurveyDATA!E$1:E$1048576,"*BRGY.21*",[1]SurveyDATA!JR$1:JR$1048576,"*NEED*",[1]SurveyDATA!KL$1:KL$1048576,"*BOCAUE*")</f>
        <v>0</v>
      </c>
      <c r="H39" s="221" t="e">
        <f aca="false">G39/$G$129</f>
        <v>#DIV/0!</v>
      </c>
      <c r="I39" s="25" t="n">
        <f aca="false">COUNTIFS([1]SurveyDATA!KX$1:KX$1048576,"Y",[1]SurveyDATA!KI$1:KI$1048576,"*RELOCATION*",[1]SurveyDATA!VX$1:VX$1048576,"*SAMPLING*",[1]SurveyDATA!E$1:E$1048576,"*BRGY.21*",[1]SurveyDATA!JR$1:JR$1048576,"*NEED*",[1]SurveyDATA!KL$1:KL$1048576,"*GUIGUINTO*")</f>
        <v>0</v>
      </c>
      <c r="J39" s="221" t="n">
        <v>0</v>
      </c>
      <c r="K39" s="25" t="n">
        <f aca="false">COUNTIFS([1]SurveyDATA!KX$1:KX$1048576,"Y",[1]SurveyDATA!KI$1:KI$1048576,"*RELOCATION*",[1]SurveyDATA!VX$1:VX$1048576,"*SAMPLING*",[1]SurveyDATA!E$1:E$1048576,"*BRGY.21*",[1]SurveyDATA!JR$1:JR$1048576,"*NEED*",[1]SurveyDATA!KL$1:KL$1048576,"*PANDI*")</f>
        <v>0</v>
      </c>
      <c r="L39" s="221" t="e">
        <f aca="false">K39/$K$129</f>
        <v>#DIV/0!</v>
      </c>
      <c r="M39" s="244" t="n">
        <f aca="false">COUNTIFS([1]SurveyDATA!KX$1:KX$1048576,"Y",[1]SurveyDATA!KI$1:KI$1048576,"*RELOCATION*",[1]SurveyDATA!VX$1:VX$1048576,"*SAMPLING*",[1]SurveyDATA!E$1:E$1048576,"*BRGY.21*",[1]SurveyDATA!JR$1:JR$1048576,"*NEED*",[1]SurveyDATA!KL$1:KL$1048576,"*SJDM*")</f>
        <v>0</v>
      </c>
      <c r="N39" s="221" t="e">
        <f aca="false">L39/$M$129</f>
        <v>#DIV/0!</v>
      </c>
      <c r="O39" s="244" t="n">
        <f aca="false">COUNTIFS([1]SurveyDATA!KX$1:KX$1048576,"Y",[1]SurveyDATA!KI$1:KI$1048576,"*RELOCATION*",[1]SurveyDATA!VX$1:VX$1048576,"*SAMPLING*",[1]SurveyDATA!E$1:E$1048576,"*BRGY.21*",[1]SurveyDATA!JR$1:JR$1048576,"*NEED*",[1]SurveyDATA!KL$1:KL$1048576,"UNDECIDED")</f>
        <v>0</v>
      </c>
      <c r="P39" s="245" t="n">
        <f aca="false">SUM(M39,K39,I39,G39,E39,C39)</f>
        <v>0</v>
      </c>
      <c r="Q39" s="221" t="e">
        <f aca="false">P39/$P$129</f>
        <v>#DIV/0!</v>
      </c>
    </row>
    <row r="40" customFormat="false" ht="15.75" hidden="false" customHeight="false" outlineLevel="0" collapsed="false">
      <c r="A40" s="174"/>
      <c r="B40" s="227" t="s">
        <v>96</v>
      </c>
      <c r="C40" s="82" t="n">
        <f aca="false">COUNTIFS([1]SurveyDATA!KX$1:KX$1048576,"Y",[1]SurveyDATA!KI$1:KI$1048576,"*RELOCATION*",[1]SurveyDATA!VX$1:VX$1048576,"*SAMPLING*",[1]SurveyDATA!E$1:E$1048576,"*BRGY.25*",[1]SurveyDATA!JR$1:JR$1048576,"*NEED*",[1]SurveyDATA!KL$1:KL$1048576,"*CAVITE*")</f>
        <v>0</v>
      </c>
      <c r="D40" s="242" t="e">
        <f aca="false">C40/$C$129</f>
        <v>#DIV/0!</v>
      </c>
      <c r="E40" s="243" t="n">
        <f aca="false">COUNTIFS([1]SurveyDATA!KX$1:KX$1048576,"Y",[1]SurveyDATA!KI$1:KI$1048576,"*RELOCATION*",[1]SurveyDATA!VX$1:VX$1048576,"*SAMPLING*",[1]SurveyDATA!E$1:E$1048576,"*BRGY.25*",[1]SurveyDATA!JR$1:JR$1048576,"*NEED*",[1]SurveyDATA!KL$1:KL$1048576,"*DISIPLINA*")</f>
        <v>0</v>
      </c>
      <c r="F40" s="242" t="e">
        <f aca="false">E40/$E$129</f>
        <v>#DIV/0!</v>
      </c>
      <c r="G40" s="25" t="n">
        <f aca="false">COUNTIFS([1]SurveyDATA!KX$1:KX$1048576,"Y",[1]SurveyDATA!KI$1:KI$1048576,"*RELOCATION*",[1]SurveyDATA!VX$1:VX$1048576,"*SAMPLING*",[1]SurveyDATA!E$1:E$1048576,"*BRGY.25*",[1]SurveyDATA!JR$1:JR$1048576,"*NEED*",[1]SurveyDATA!KL$1:KL$1048576,"*BOCAUE*")</f>
        <v>0</v>
      </c>
      <c r="H40" s="221" t="e">
        <f aca="false">G40/$G$129</f>
        <v>#DIV/0!</v>
      </c>
      <c r="I40" s="25" t="n">
        <f aca="false">COUNTIFS([1]SurveyDATA!KX$1:KX$1048576,"Y",[1]SurveyDATA!KI$1:KI$1048576,"*RELOCATION*",[1]SurveyDATA!VX$1:VX$1048576,"*SAMPLING*",[1]SurveyDATA!E$1:E$1048576,"*BRGY.25*",[1]SurveyDATA!JR$1:JR$1048576,"*NEED*",[1]SurveyDATA!KL$1:KL$1048576,"*GUIGUINTO*")</f>
        <v>0</v>
      </c>
      <c r="J40" s="221" t="n">
        <v>0</v>
      </c>
      <c r="K40" s="25" t="n">
        <f aca="false">COUNTIFS([1]SurveyDATA!KX$1:KX$1048576,"Y",[1]SurveyDATA!KI$1:KI$1048576,"*RELOCATION*",[1]SurveyDATA!VX$1:VX$1048576,"*SAMPLING*",[1]SurveyDATA!E$1:E$1048576,"*BRGY.25*",[1]SurveyDATA!JR$1:JR$1048576,"*NEED*",[1]SurveyDATA!KL$1:KL$1048576,"*PANDI*")</f>
        <v>0</v>
      </c>
      <c r="L40" s="221" t="e">
        <f aca="false">K40/$K$129</f>
        <v>#DIV/0!</v>
      </c>
      <c r="M40" s="244" t="n">
        <f aca="false">COUNTIFS([1]SurveyDATA!KX$1:KX$1048576,"Y",[1]SurveyDATA!KI$1:KI$1048576,"*RELOCATION*",[1]SurveyDATA!VX$1:VX$1048576,"*SAMPLING*",[1]SurveyDATA!E$1:E$1048576,"*BRGY.25*",[1]SurveyDATA!JR$1:JR$1048576,"*NEED*",[1]SurveyDATA!KL$1:KL$1048576,"*SJDM*")</f>
        <v>0</v>
      </c>
      <c r="N40" s="221" t="e">
        <f aca="false">L40/$M$129</f>
        <v>#DIV/0!</v>
      </c>
      <c r="O40" s="244" t="n">
        <f aca="false">COUNTIFS([1]SurveyDATA!KX$1:KX$1048576,"Y",[1]SurveyDATA!KI$1:KI$1048576,"*RELOCATION*",[1]SurveyDATA!VX$1:VX$1048576,"*SAMPLING*",[1]SurveyDATA!E$1:E$1048576,"*BRGY.25*",[1]SurveyDATA!JR$1:JR$1048576,"*NEED*",[1]SurveyDATA!KL$1:KL$1048576,"UNDECIDED")</f>
        <v>0</v>
      </c>
      <c r="P40" s="245" t="n">
        <f aca="false">SUM(M40,K40,I40,G40,E40,C40)</f>
        <v>0</v>
      </c>
      <c r="Q40" s="221" t="e">
        <f aca="false">P40/$P$129</f>
        <v>#DIV/0!</v>
      </c>
    </row>
    <row r="41" customFormat="false" ht="15.75" hidden="false" customHeight="false" outlineLevel="0" collapsed="false">
      <c r="A41" s="174"/>
      <c r="B41" s="227" t="s">
        <v>97</v>
      </c>
      <c r="C41" s="82" t="n">
        <f aca="false">COUNTIFS([1]SurveyDATA!KX$1:KX$1048576,"Y",[1]SurveyDATA!KI$1:KI$1048576,"*RELOCATION*",[1]SurveyDATA!VX$1:VX$1048576,"*SAMPLING*",[1]SurveyDATA!E$1:E$1048576,"*BRGY.29*",[1]SurveyDATA!JR$1:JR$1048576,"*NEED*",[1]SurveyDATA!KL$1:KL$1048576,"*CAVITE*")</f>
        <v>0</v>
      </c>
      <c r="D41" s="242" t="e">
        <f aca="false">C41/$C$129</f>
        <v>#DIV/0!</v>
      </c>
      <c r="E41" s="243" t="n">
        <f aca="false">COUNTIFS([1]SurveyDATA!KX$1:KX$1048576,"Y",[1]SurveyDATA!KI$1:KI$1048576,"*RELOCATION*",[1]SurveyDATA!VX$1:VX$1048576,"*SAMPLING*",[1]SurveyDATA!E$1:E$1048576,"*BRGY.29*",[1]SurveyDATA!JR$1:JR$1048576,"*NEED*",[1]SurveyDATA!KL$1:KL$1048576,"*DISIPLINA*")</f>
        <v>0</v>
      </c>
      <c r="F41" s="242" t="e">
        <f aca="false">E41/$E$129</f>
        <v>#DIV/0!</v>
      </c>
      <c r="G41" s="25" t="n">
        <f aca="false">COUNTIFS([1]SurveyDATA!KX$1:KX$1048576,"Y",[1]SurveyDATA!KI$1:KI$1048576,"*RELOCATION*",[1]SurveyDATA!VX$1:VX$1048576,"*SAMPLING*",[1]SurveyDATA!E$1:E$1048576,"*BRGY.29*",[1]SurveyDATA!JR$1:JR$1048576,"*NEED*",[1]SurveyDATA!KL$1:KL$1048576,"*BOCAUE*")</f>
        <v>0</v>
      </c>
      <c r="H41" s="221" t="e">
        <f aca="false">G41/$G$129</f>
        <v>#DIV/0!</v>
      </c>
      <c r="I41" s="25" t="n">
        <f aca="false">COUNTIFS([1]SurveyDATA!KX$1:KX$1048576,"Y",[1]SurveyDATA!KI$1:KI$1048576,"*RELOCATION*",[1]SurveyDATA!VX$1:VX$1048576,"*SAMPLING*",[1]SurveyDATA!E$1:E$1048576,"*BRGY.29*",[1]SurveyDATA!JR$1:JR$1048576,"*NEED*",[1]SurveyDATA!KL$1:KL$1048576,"*GUIGUINTO*")</f>
        <v>0</v>
      </c>
      <c r="J41" s="221" t="n">
        <v>0</v>
      </c>
      <c r="K41" s="25" t="n">
        <f aca="false">COUNTIFS([1]SurveyDATA!KX$1:KX$1048576,"Y",[1]SurveyDATA!KI$1:KI$1048576,"*RELOCATION*",[1]SurveyDATA!VX$1:VX$1048576,"*SAMPLING*",[1]SurveyDATA!E$1:E$1048576,"*BRGY.29*",[1]SurveyDATA!JR$1:JR$1048576,"*NEED*",[1]SurveyDATA!KL$1:KL$1048576,"*PANDI*")</f>
        <v>0</v>
      </c>
      <c r="L41" s="221" t="e">
        <f aca="false">K41/$K$129</f>
        <v>#DIV/0!</v>
      </c>
      <c r="M41" s="244" t="n">
        <f aca="false">COUNTIFS([1]SurveyDATA!KX$1:KX$1048576,"Y",[1]SurveyDATA!KI$1:KI$1048576,"*RELOCATION*",[1]SurveyDATA!VX$1:VX$1048576,"*SAMPLING*",[1]SurveyDATA!E$1:E$1048576,"*BRGY.29*",[1]SurveyDATA!JR$1:JR$1048576,"*NEED*",[1]SurveyDATA!KL$1:KL$1048576,"*SJDM*")</f>
        <v>0</v>
      </c>
      <c r="N41" s="221" t="e">
        <f aca="false">L41/$M$129</f>
        <v>#DIV/0!</v>
      </c>
      <c r="O41" s="244" t="n">
        <f aca="false">COUNTIFS([1]SurveyDATA!KX$1:KX$1048576,"Y",[1]SurveyDATA!KI$1:KI$1048576,"*RELOCATION*",[1]SurveyDATA!VX$1:VX$1048576,"*SAMPLING*",[1]SurveyDATA!E$1:E$1048576,"*BRGY.29*",[1]SurveyDATA!JR$1:JR$1048576,"*NEED*",[1]SurveyDATA!KL$1:KL$1048576,"UNDECIDED")</f>
        <v>0</v>
      </c>
      <c r="P41" s="245" t="n">
        <f aca="false">SUM(M41,K41,I41,G41,E41,C41)</f>
        <v>0</v>
      </c>
      <c r="Q41" s="221" t="e">
        <f aca="false">P41/$P$129</f>
        <v>#DIV/0!</v>
      </c>
    </row>
    <row r="42" customFormat="false" ht="15.75" hidden="false" customHeight="false" outlineLevel="0" collapsed="false">
      <c r="A42" s="174"/>
      <c r="B42" s="227" t="s">
        <v>98</v>
      </c>
      <c r="C42" s="82" t="n">
        <f aca="false">COUNTIFS([1]SurveyDATA!KX$1:KX$1048576,"Y",[1]SurveyDATA!KI$1:KI$1048576,"*RELOCATION*",[1]SurveyDATA!VX$1:VX$1048576,"*SAMPLING*",[1]SurveyDATA!E$1:E$1048576,"*BRGY.32*",[1]SurveyDATA!JR$1:JR$1048576,"*NEED*",[1]SurveyDATA!KL$1:KL$1048576,"*CAVITE*")</f>
        <v>0</v>
      </c>
      <c r="D42" s="242" t="e">
        <f aca="false">C42/$C$129</f>
        <v>#DIV/0!</v>
      </c>
      <c r="E42" s="243" t="n">
        <f aca="false">COUNTIFS([1]SurveyDATA!KX$1:KX$1048576,"Y",[1]SurveyDATA!KI$1:KI$1048576,"*RELOCATION*",[1]SurveyDATA!VX$1:VX$1048576,"*SAMPLING*",[1]SurveyDATA!E$1:E$1048576,"*BRGY.32*",[1]SurveyDATA!JR$1:JR$1048576,"*NEED*",[1]SurveyDATA!KL$1:KL$1048576,"*DISIPLINA*")</f>
        <v>0</v>
      </c>
      <c r="F42" s="242" t="e">
        <f aca="false">E42/$E$129</f>
        <v>#DIV/0!</v>
      </c>
      <c r="G42" s="25" t="n">
        <f aca="false">COUNTIFS([1]SurveyDATA!KX$1:KX$1048576,"Y",[1]SurveyDATA!KI$1:KI$1048576,"*RELOCATION*",[1]SurveyDATA!VX$1:VX$1048576,"*SAMPLING*",[1]SurveyDATA!E$1:E$1048576,"*BRGY.32*",[1]SurveyDATA!JR$1:JR$1048576,"*NEED*",[1]SurveyDATA!KL$1:KL$1048576,"*BOCAUE*")</f>
        <v>0</v>
      </c>
      <c r="H42" s="221" t="e">
        <f aca="false">G42/$G$129</f>
        <v>#DIV/0!</v>
      </c>
      <c r="I42" s="25" t="n">
        <f aca="false">COUNTIFS([1]SurveyDATA!KX$1:KX$1048576,"Y",[1]SurveyDATA!KI$1:KI$1048576,"*RELOCATION*",[1]SurveyDATA!VX$1:VX$1048576,"*SAMPLING*",[1]SurveyDATA!E$1:E$1048576,"*BRGY.32*",[1]SurveyDATA!JR$1:JR$1048576,"*NEED*",[1]SurveyDATA!KL$1:KL$1048576,"*GUIGUINTO*")</f>
        <v>0</v>
      </c>
      <c r="J42" s="221" t="n">
        <v>0</v>
      </c>
      <c r="K42" s="25" t="n">
        <f aca="false">COUNTIFS([1]SurveyDATA!KX$1:KX$1048576,"Y",[1]SurveyDATA!KI$1:KI$1048576,"*RELOCATION*",[1]SurveyDATA!VX$1:VX$1048576,"*SAMPLING*",[1]SurveyDATA!E$1:E$1048576,"*BRGY.32*",[1]SurveyDATA!JR$1:JR$1048576,"*NEED*",[1]SurveyDATA!KL$1:KL$1048576,"*PANDI*")</f>
        <v>0</v>
      </c>
      <c r="L42" s="221" t="e">
        <f aca="false">K42/$K$129</f>
        <v>#DIV/0!</v>
      </c>
      <c r="M42" s="244" t="n">
        <f aca="false">COUNTIFS([1]SurveyDATA!KX$1:KX$1048576,"Y",[1]SurveyDATA!KI$1:KI$1048576,"*RELOCATION*",[1]SurveyDATA!VX$1:VX$1048576,"*SAMPLING*",[1]SurveyDATA!E$1:E$1048576,"*BRGY.32*",[1]SurveyDATA!JR$1:JR$1048576,"*NEED*",[1]SurveyDATA!KL$1:KL$1048576,"*SJDM*")</f>
        <v>0</v>
      </c>
      <c r="N42" s="221" t="e">
        <f aca="false">L42/$M$129</f>
        <v>#DIV/0!</v>
      </c>
      <c r="O42" s="244" t="n">
        <f aca="false">COUNTIFS([1]SurveyDATA!KX$1:KX$1048576,"Y",[1]SurveyDATA!KI$1:KI$1048576,"*RELOCATION*",[1]SurveyDATA!VX$1:VX$1048576,"*SAMPLING*",[1]SurveyDATA!E$1:E$1048576,"*BRGY.32*",[1]SurveyDATA!JR$1:JR$1048576,"*NEED*",[1]SurveyDATA!KL$1:KL$1048576,"UNDECIDED")</f>
        <v>0</v>
      </c>
      <c r="P42" s="245" t="n">
        <f aca="false">SUM(M42,K42,I42,G42,E42,C42)</f>
        <v>0</v>
      </c>
      <c r="Q42" s="221" t="e">
        <f aca="false">P42/$P$129</f>
        <v>#DIV/0!</v>
      </c>
    </row>
    <row r="43" customFormat="false" ht="15.75" hidden="false" customHeight="false" outlineLevel="0" collapsed="false">
      <c r="A43" s="174"/>
      <c r="B43" s="227" t="s">
        <v>99</v>
      </c>
      <c r="C43" s="82" t="n">
        <f aca="false">COUNTIFS([1]SurveyDATA!KX$1:KX$1048576,"Y",[1]SurveyDATA!KI$1:KI$1048576,"*RELOCATION*",[1]SurveyDATA!VX$1:VX$1048576,"*SAMPLING*",[1]SurveyDATA!E$1:E$1048576,"*BRGY.33*",[1]SurveyDATA!JR$1:JR$1048576,"*NEED*",[1]SurveyDATA!KL$1:KL$1048576,"*CAVITE*")</f>
        <v>0</v>
      </c>
      <c r="D43" s="242" t="e">
        <f aca="false">C43/$C$129</f>
        <v>#DIV/0!</v>
      </c>
      <c r="E43" s="243" t="n">
        <f aca="false">COUNTIFS([1]SurveyDATA!KX$1:KX$1048576,"Y",[1]SurveyDATA!KI$1:KI$1048576,"*RELOCATION*",[1]SurveyDATA!VX$1:VX$1048576,"*SAMPLING*",[1]SurveyDATA!E$1:E$1048576,"*BRGY.33*",[1]SurveyDATA!JR$1:JR$1048576,"*NEED*",[1]SurveyDATA!KL$1:KL$1048576,"*DISIPLINA*")</f>
        <v>0</v>
      </c>
      <c r="F43" s="242" t="e">
        <f aca="false">E43/$E$129</f>
        <v>#DIV/0!</v>
      </c>
      <c r="G43" s="25" t="n">
        <f aca="false">COUNTIFS([1]SurveyDATA!KX$1:KX$1048576,"Y",[1]SurveyDATA!KI$1:KI$1048576,"*RELOCATION*",[1]SurveyDATA!VX$1:VX$1048576,"*SAMPLING*",[1]SurveyDATA!E$1:E$1048576,"*BRGY.33*",[1]SurveyDATA!JR$1:JR$1048576,"*NEED*",[1]SurveyDATA!KL$1:KL$1048576,"*BOCAUE*")</f>
        <v>0</v>
      </c>
      <c r="H43" s="221" t="e">
        <f aca="false">G43/$G$129</f>
        <v>#DIV/0!</v>
      </c>
      <c r="I43" s="25" t="n">
        <f aca="false">COUNTIFS([1]SurveyDATA!KX$1:KX$1048576,"Y",[1]SurveyDATA!KI$1:KI$1048576,"*RELOCATION*",[1]SurveyDATA!VX$1:VX$1048576,"*SAMPLING*",[1]SurveyDATA!E$1:E$1048576,"*BRGY.33*",[1]SurveyDATA!JR$1:JR$1048576,"*NEED*",[1]SurveyDATA!KL$1:KL$1048576,"*GUIGUINTO*")</f>
        <v>0</v>
      </c>
      <c r="J43" s="221" t="n">
        <v>0</v>
      </c>
      <c r="K43" s="25" t="n">
        <f aca="false">COUNTIFS([1]SurveyDATA!KX$1:KX$1048576,"Y",[1]SurveyDATA!KI$1:KI$1048576,"*RELOCATION*",[1]SurveyDATA!VX$1:VX$1048576,"*SAMPLING*",[1]SurveyDATA!E$1:E$1048576,"*BRGY.33*",[1]SurveyDATA!JR$1:JR$1048576,"*NEED*",[1]SurveyDATA!KL$1:KL$1048576,"*PANDI*")</f>
        <v>0</v>
      </c>
      <c r="L43" s="221" t="e">
        <f aca="false">K43/$K$129</f>
        <v>#DIV/0!</v>
      </c>
      <c r="M43" s="244" t="n">
        <f aca="false">COUNTIFS([1]SurveyDATA!KX$1:KX$1048576,"Y",[1]SurveyDATA!KI$1:KI$1048576,"*RELOCATION*",[1]SurveyDATA!VX$1:VX$1048576,"*SAMPLING*",[1]SurveyDATA!E$1:E$1048576,"*BRGY.33*",[1]SurveyDATA!JR$1:JR$1048576,"*NEED*",[1]SurveyDATA!KL$1:KL$1048576,"*SJDM*")</f>
        <v>0</v>
      </c>
      <c r="N43" s="221" t="e">
        <f aca="false">L43/$M$129</f>
        <v>#DIV/0!</v>
      </c>
      <c r="O43" s="244" t="n">
        <f aca="false">COUNTIFS([1]SurveyDATA!KX$1:KX$1048576,"Y",[1]SurveyDATA!KI$1:KI$1048576,"*RELOCATION*",[1]SurveyDATA!VX$1:VX$1048576,"*SAMPLING*",[1]SurveyDATA!E$1:E$1048576,"*BRGY.33*",[1]SurveyDATA!JR$1:JR$1048576,"*NEED*",[1]SurveyDATA!KL$1:KL$1048576,"UNDECIDED")</f>
        <v>0</v>
      </c>
      <c r="P43" s="245" t="n">
        <f aca="false">SUM(M43,K43,I43,G43,E43,C43)</f>
        <v>0</v>
      </c>
      <c r="Q43" s="221" t="e">
        <f aca="false">P43/$P$129</f>
        <v>#DIV/0!</v>
      </c>
    </row>
    <row r="44" customFormat="false" ht="15.75" hidden="false" customHeight="false" outlineLevel="0" collapsed="false">
      <c r="A44" s="230"/>
      <c r="B44" s="231" t="s">
        <v>22</v>
      </c>
      <c r="C44" s="27" t="n">
        <f aca="false">COUNTIFS([1]SurveyDATA!KX$1:KX$1048576,"Y",[1]SurveyDATA!KI$1:KI$1048576,"*RELOCATION*",[1]SurveyDATA!VX$1:VX$1048576,"*SAMPLING*",[1]SurveyDATA!E$1:E$1048576,"*CALOOCAN*",[1]SurveyDATA!JR$1:JR$1048576,"*NEED*",[1]SurveyDATA!KL$1:KL$1048576,"*CAVITE*")</f>
        <v>0</v>
      </c>
      <c r="D44" s="224" t="e">
        <f aca="false">C44/$P$129</f>
        <v>#DIV/0!</v>
      </c>
      <c r="E44" s="248" t="n">
        <f aca="false">COUNTIFS([1]SurveyDATA!KX$1:KX$1048576,"Y",[1]SurveyDATA!KI$1:KI$1048576,"*RELOCATION*",[1]SurveyDATA!VX$1:VX$1048576,"*SAMPLING*",[1]SurveyDATA!E$1:E$1048576,"*CALOOCAN*",[1]SurveyDATA!JR$1:JR$1048576,"*NEED*",[1]SurveyDATA!KL$1:KL$1048576,"*DISIPLINA*")</f>
        <v>0</v>
      </c>
      <c r="F44" s="224" t="e">
        <f aca="false">E44/$P$129</f>
        <v>#DIV/0!</v>
      </c>
      <c r="G44" s="27" t="n">
        <f aca="false">COUNTIFS([1]SurveyDATA!KX$1:KX$1048576,"Y",[1]SurveyDATA!KI$1:KI$1048576,"*RELOCATION*",[1]SurveyDATA!VX$1:VX$1048576,"*SAMPLING*",[1]SurveyDATA!E$1:E$1048576,"*CALOOCAN*",[1]SurveyDATA!JR$1:JR$1048576,"*NEED*",[1]SurveyDATA!KL$1:KL$1048576,"*BOCAUE*")</f>
        <v>0</v>
      </c>
      <c r="H44" s="224" t="e">
        <f aca="false">G44/G62</f>
        <v>#DIV/0!</v>
      </c>
      <c r="I44" s="27" t="n">
        <f aca="false">COUNTIFS([1]SurveyDATA!KX$1:KX$1048576,"Y",[1]SurveyDATA!KI$1:KI$1048576,"*RELOCATION*",[1]SurveyDATA!VX$1:VX$1048576,"*SAMPLING*",[1]SurveyDATA!E$1:E$1048576,"*CALOOCAN*",[1]SurveyDATA!JR$1:JR$1048576,"*NEED*",[1]SurveyDATA!KJ$1:KJ$1048576,"*GUIGUINTO*")</f>
        <v>0</v>
      </c>
      <c r="J44" s="224" t="e">
        <f aca="false">I44/I62</f>
        <v>#DIV/0!</v>
      </c>
      <c r="K44" s="27" t="n">
        <f aca="false">COUNTIFS([1]SurveyDATA!KX$1:KX$1048576,"Y",[1]SurveyDATA!KI$1:KI$1048576,"*RELOCATION*",[1]SurveyDATA!VX$1:VX$1048576,"*SAMPLING*",[1]SurveyDATA!E$1:E$1048576,"*CALOOCAN*",[1]SurveyDATA!JR$1:JR$1048576,"*NEED*",[1]SurveyDATA!KL$1:KL$1048576,"*PANDI*")</f>
        <v>0</v>
      </c>
      <c r="L44" s="224" t="e">
        <f aca="false">K44/K62</f>
        <v>#DIV/0!</v>
      </c>
      <c r="M44" s="247" t="n">
        <f aca="false">COUNTIFS([1]SurveyDATA!KX$1:KX$1048576,"Y",[1]SurveyDATA!KI$1:KI$1048576,"*RELOCATION*",[1]SurveyDATA!VX$1:VX$1048576,"*SAMPLING*",[1]SurveyDATA!E$1:E$1048576,"*CALOOCAN*",[1]SurveyDATA!JR$1:JR$1048576,"*NEED*",[1]SurveyDATA!KL$1:KL$1048576,"*SJDM*")</f>
        <v>0</v>
      </c>
      <c r="N44" s="224" t="e">
        <f aca="false">M44/P44</f>
        <v>#DIV/0!</v>
      </c>
      <c r="O44" s="247" t="n">
        <f aca="false">COUNTIFS([1]SurveyDATA!KX$1:KX$1048576,"Y",[1]SurveyDATA!KI$1:KI$1048576,"*RELOCATION*",[1]SurveyDATA!VX$1:VX$1048576,"*SAMPLING*",[1]SurveyDATA!E$1:E$1048576,"*CALOOCAN*",[1]SurveyDATA!JR$1:JR$1048576,"*NEED*",[1]SurveyDATA!KL$1:KL$1048576,"UNDECIDED")</f>
        <v>0</v>
      </c>
      <c r="P44" s="248" t="n">
        <f aca="false">SUM(O44,M44,K44,I44,G44,E44,C44)</f>
        <v>0</v>
      </c>
      <c r="Q44" s="224" t="e">
        <f aca="false">P44/P62</f>
        <v>#DIV/0!</v>
      </c>
    </row>
    <row r="45" customFormat="false" ht="15.75" hidden="false" customHeight="false" outlineLevel="0" collapsed="false">
      <c r="A45" s="174" t="s">
        <v>57</v>
      </c>
      <c r="B45" s="227" t="s">
        <v>101</v>
      </c>
      <c r="C45" s="82" t="n">
        <f aca="false">COUNTIFS([1]SurveyDATA!KX$1:KX$1048576,"Y",[1]SurveyDATA!KI$1:KI$1048576,"*RELOCATION*",[1]SurveyDATA!VX$1:VX$1048576,"*SAMPLING*",[1]SurveyDATA!E$1:E$1048576,"*BRGY.184*",[1]SurveyDATA!JR$1:JR$1048576,"*NEED*",[1]SurveyDATA!KL$1:KL$1048576,"*CAVITE*")</f>
        <v>0</v>
      </c>
      <c r="D45" s="242" t="e">
        <f aca="false">C45/$C$146</f>
        <v>#DIV/0!</v>
      </c>
      <c r="E45" s="249" t="n">
        <f aca="false">COUNTIFS([1]SurveyDATA!KX$1:KX$1048576,"Y",[1]SurveyDATA!KI$1:KI$1048576,"*RELOCATION*",[1]SurveyDATA!VX$1:VX$1048576,"*SAMPLING*",[1]SurveyDATA!E$1:E$1048576,"*BRGY.184*",[1]SurveyDATA!JR$1:JR$1048576,"*NEED*",[1]SurveyDATA!KL$1:KL$1048576,"*DISIPLINA*")</f>
        <v>0</v>
      </c>
      <c r="F45" s="242" t="e">
        <f aca="false">E45/$E$146</f>
        <v>#DIV/0!</v>
      </c>
      <c r="G45" s="25" t="n">
        <f aca="false">COUNTIFS([1]SurveyDATA!KX$1:KX$1048576,"Y",[1]SurveyDATA!KI$1:KI$1048576,"*RELOCATION*",[1]SurveyDATA!VX$1:VX$1048576,"*SAMPLING*",[1]SurveyDATA!E$1:E$1048576,"*BRGY.184*",[1]SurveyDATA!JR$1:JR$1048576,"*NEED*",[1]SurveyDATA!KL$1:KL$1048576,"*BOCAUE*")</f>
        <v>0</v>
      </c>
      <c r="H45" s="221" t="e">
        <f aca="false">G45/$G$146</f>
        <v>#DIV/0!</v>
      </c>
      <c r="I45" s="25" t="n">
        <f aca="false">COUNTIFS([1]SurveyDATA!KX$1:KX$1048576,"Y",[1]SurveyDATA!KI$1:KI$1048576,"*RELOCATION*",[1]SurveyDATA!VX$1:VX$1048576,"*SAMPLING*",[1]SurveyDATA!E$1:E$1048576,"*BRGY.184*",[1]SurveyDATA!JR$1:JR$1048576,"*NEED*",[1]SurveyDATA!KL$1:KL$1048576,"*GUIGUINTO*")</f>
        <v>0</v>
      </c>
      <c r="J45" s="221" t="e">
        <f aca="false">I45/$I$146</f>
        <v>#DIV/0!</v>
      </c>
      <c r="K45" s="25" t="n">
        <f aca="false">COUNTIFS([1]SurveyDATA!KX$1:KX$1048576,"Y",[1]SurveyDATA!KI$1:KI$1048576,"*RELOCATION*",[1]SurveyDATA!VX$1:VX$1048576,"*SAMPLING*",[1]SurveyDATA!E$1:E$1048576,"*BRGY.184*",[1]SurveyDATA!JR$1:JR$1048576,"*NEED*",[1]SurveyDATA!KL$1:KL$1048576,"*PANDI*")</f>
        <v>0</v>
      </c>
      <c r="L45" s="221" t="e">
        <f aca="false">K45/$K$146</f>
        <v>#DIV/0!</v>
      </c>
      <c r="M45" s="244" t="n">
        <f aca="false">COUNTIFS([1]SurveyDATA!KX$1:KX$1048576,"Y",[1]SurveyDATA!KI$1:KI$1048576,"*RELOCATION*",[1]SurveyDATA!VX$1:VX$1048576,"*SAMPLING*",[1]SurveyDATA!E$1:E$1048576,"*BRGY.184*",[1]SurveyDATA!JR$1:JR$1048576,"*NEED*",[1]SurveyDATA!KL$1:KL$1048576,"*SJDM*")</f>
        <v>0</v>
      </c>
      <c r="N45" s="221" t="e">
        <f aca="false">M45/$M$146</f>
        <v>#DIV/0!</v>
      </c>
      <c r="O45" s="244" t="n">
        <f aca="false">COUNTIFS([1]SurveyDATA!KX$1:KX$1048576,"Y",[1]SurveyDATA!KI$1:KI$1048576,"*RELOCATION*",[1]SurveyDATA!VX$1:VX$1048576,"*SAMPLING*",[1]SurveyDATA!E$1:E$1048576,"*BRGY.184*",[1]SurveyDATA!JR$1:JR$1048576,"*NEED*",[1]SurveyDATA!KL$1:KL$1048576,"UNDECIDED")</f>
        <v>0</v>
      </c>
      <c r="P45" s="245" t="n">
        <f aca="false">SUM(M45,K45,I45,G45,E45,C45)</f>
        <v>0</v>
      </c>
      <c r="Q45" s="221" t="e">
        <f aca="false">P45/$P$146</f>
        <v>#DIV/0!</v>
      </c>
    </row>
    <row r="46" customFormat="false" ht="15.75" hidden="false" customHeight="false" outlineLevel="0" collapsed="false">
      <c r="A46" s="174"/>
      <c r="B46" s="227" t="s">
        <v>102</v>
      </c>
      <c r="C46" s="82" t="n">
        <f aca="false">COUNTIFS([1]SurveyDATA!KX$1:KX$1048576,"Y",[1]SurveyDATA!KI$1:KI$1048576,"*RELOCATION*",[1]SurveyDATA!VX$1:VX$1048576,"*SAMPLING*",[1]SurveyDATA!E$1:E$1048576,"*BRGY.186*",[1]SurveyDATA!JR$1:JR$1048576,"*NEED*",[1]SurveyDATA!KL$1:KL$1048576,"*CAVITE*")</f>
        <v>0</v>
      </c>
      <c r="D46" s="242" t="e">
        <f aca="false">C46/$C$146</f>
        <v>#DIV/0!</v>
      </c>
      <c r="E46" s="249" t="n">
        <f aca="false">COUNTIFS([1]SurveyDATA!KX$1:KX$1048576,"Y",[1]SurveyDATA!KI$1:KI$1048576,"*RELOCATION*",[1]SurveyDATA!VX$1:VX$1048576,"*SAMPLING*",[1]SurveyDATA!E$1:E$1048576,"*BRGY.186*",[1]SurveyDATA!JR$1:JR$1048576,"*NEED*",[1]SurveyDATA!KL$1:KL$1048576,"*DISIPLINA*")</f>
        <v>0</v>
      </c>
      <c r="F46" s="242" t="e">
        <f aca="false">E46/$E$146</f>
        <v>#DIV/0!</v>
      </c>
      <c r="G46" s="25" t="n">
        <f aca="false">COUNTIFS([1]SurveyDATA!KX$1:KX$1048576,"Y",[1]SurveyDATA!KI$1:KI$1048576,"*RELOCATION*",[1]SurveyDATA!VX$1:VX$1048576,"*SAMPLING*",[1]SurveyDATA!E$1:E$1048576,"*BRGY.186*",[1]SurveyDATA!JR$1:JR$1048576,"*NEED*",[1]SurveyDATA!KL$1:KL$1048576,"*BOCAUE*")</f>
        <v>0</v>
      </c>
      <c r="H46" s="221" t="e">
        <f aca="false">G46/$G$146</f>
        <v>#DIV/0!</v>
      </c>
      <c r="I46" s="25" t="n">
        <f aca="false">COUNTIFS([1]SurveyDATA!KX$1:KX$1048576,"Y",[1]SurveyDATA!KI$1:KI$1048576,"*RELOCATION*",[1]SurveyDATA!VX$1:VX$1048576,"*SAMPLING*",[1]SurveyDATA!E$1:E$1048576,"*BRGY.186*",[1]SurveyDATA!JR$1:JR$1048576,"*NEED*",[1]SurveyDATA!KL$1:KL$1048576,"*GUIGUINTO*")</f>
        <v>0</v>
      </c>
      <c r="J46" s="221" t="e">
        <f aca="false">I46/$I$146</f>
        <v>#DIV/0!</v>
      </c>
      <c r="K46" s="25" t="n">
        <f aca="false">COUNTIFS([1]SurveyDATA!KX$1:KX$1048576,"Y",[1]SurveyDATA!KI$1:KI$1048576,"*RELOCATION*",[1]SurveyDATA!VX$1:VX$1048576,"*SAMPLING*",[1]SurveyDATA!E$1:E$1048576,"*BRGY.186*",[1]SurveyDATA!JR$1:JR$1048576,"*NEED*",[1]SurveyDATA!KL$1:KL$1048576,"*PANDI*")</f>
        <v>0</v>
      </c>
      <c r="L46" s="221" t="e">
        <f aca="false">K46/$K$146</f>
        <v>#DIV/0!</v>
      </c>
      <c r="M46" s="244" t="n">
        <f aca="false">COUNTIFS([1]SurveyDATA!KX$1:KX$1048576,"Y",[1]SurveyDATA!KI$1:KI$1048576,"*RELOCATION*",[1]SurveyDATA!VX$1:VX$1048576,"*SAMPLING*",[1]SurveyDATA!E$1:E$1048576,"*BRGY.186*",[1]SurveyDATA!JR$1:JR$1048576,"*NEED*",[1]SurveyDATA!KL$1:KL$1048576,"*SJDM*")</f>
        <v>0</v>
      </c>
      <c r="N46" s="221" t="e">
        <f aca="false">M46/$M$146</f>
        <v>#DIV/0!</v>
      </c>
      <c r="O46" s="244" t="n">
        <f aca="false">COUNTIFS([1]SurveyDATA!KX$1:KX$1048576,"Y",[1]SurveyDATA!KI$1:KI$1048576,"*RELOCATION*",[1]SurveyDATA!VX$1:VX$1048576,"*SAMPLING*",[1]SurveyDATA!E$1:E$1048576,"*BRGY.186*",[1]SurveyDATA!JR$1:JR$1048576,"*NEED*",[1]SurveyDATA!KL$1:KL$1048576,"UNDECIDED")</f>
        <v>0</v>
      </c>
      <c r="P46" s="245" t="n">
        <f aca="false">SUM(M46,K46,I46,G46,E46,C46)</f>
        <v>0</v>
      </c>
      <c r="Q46" s="221" t="e">
        <f aca="false">P46/$P$146</f>
        <v>#DIV/0!</v>
      </c>
    </row>
    <row r="47" customFormat="false" ht="15.75" hidden="false" customHeight="false" outlineLevel="0" collapsed="false">
      <c r="A47" s="174"/>
      <c r="B47" s="227" t="s">
        <v>103</v>
      </c>
      <c r="C47" s="82" t="n">
        <f aca="false">COUNTIFS([1]SurveyDATA!KX$1:KX$1048576,"Y",[1]SurveyDATA!KI$1:KI$1048576,"*RELOCATION*",[1]SurveyDATA!VX$1:VX$1048576,"*SAMPLING*",[1]SurveyDATA!E$1:E$1048576,"*BRGY.185*",[1]SurveyDATA!JR$1:JR$1048576,"*NEED*",[1]SurveyDATA!KL$1:KL$1048576,"*CAVITE*")</f>
        <v>0</v>
      </c>
      <c r="D47" s="242" t="e">
        <f aca="false">C47/$C$146</f>
        <v>#DIV/0!</v>
      </c>
      <c r="E47" s="249" t="n">
        <f aca="false">COUNTIFS([1]SurveyDATA!KX$1:KX$1048576,"Y",[1]SurveyDATA!KI$1:KI$1048576,"*RELOCATION*",[1]SurveyDATA!VX$1:VX$1048576,"*SAMPLING*",[1]SurveyDATA!E$1:E$1048576,"*BRGY.185*",[1]SurveyDATA!JR$1:JR$1048576,"*NEED*",[1]SurveyDATA!KL$1:KL$1048576,"*DISIPLINA*")</f>
        <v>0</v>
      </c>
      <c r="F47" s="242" t="e">
        <f aca="false">E47/$E$146</f>
        <v>#DIV/0!</v>
      </c>
      <c r="G47" s="25" t="n">
        <f aca="false">COUNTIFS([1]SurveyDATA!KX$1:KX$1048576,"Y",[1]SurveyDATA!KI$1:KI$1048576,"*RELOCATION*",[1]SurveyDATA!VX$1:VX$1048576,"*SAMPLING*",[1]SurveyDATA!E$1:E$1048576,"*BRGY.185*",[1]SurveyDATA!JR$1:JR$1048576,"*NEED*",[1]SurveyDATA!KL$1:KL$1048576,"*BOCAUE*")</f>
        <v>0</v>
      </c>
      <c r="H47" s="221" t="e">
        <f aca="false">G47/$G$146</f>
        <v>#DIV/0!</v>
      </c>
      <c r="I47" s="25" t="n">
        <f aca="false">COUNTIFS([1]SurveyDATA!KX$1:KX$1048576,"Y",[1]SurveyDATA!KI$1:KI$1048576,"*RELOCATION*",[1]SurveyDATA!VX$1:VX$1048576,"*SAMPLING*",[1]SurveyDATA!E$1:E$1048576,"*BRGY.185*",[1]SurveyDATA!JR$1:JR$1048576,"*NEED*",[1]SurveyDATA!KL$1:KL$1048576,"*GUIGUINTO*")</f>
        <v>0</v>
      </c>
      <c r="J47" s="221" t="e">
        <f aca="false">I47/$I$146</f>
        <v>#DIV/0!</v>
      </c>
      <c r="K47" s="25" t="n">
        <f aca="false">COUNTIFS([1]SurveyDATA!KX$1:KX$1048576,"Y",[1]SurveyDATA!KI$1:KI$1048576,"*RELOCATION*",[1]SurveyDATA!VX$1:VX$1048576,"*SAMPLING*",[1]SurveyDATA!E$1:E$1048576,"*BRGY.185*",[1]SurveyDATA!JR$1:JR$1048576,"*NEED*",[1]SurveyDATA!KL$1:KL$1048576,"*PANDI*")</f>
        <v>0</v>
      </c>
      <c r="L47" s="221" t="e">
        <f aca="false">K47/$K$146</f>
        <v>#DIV/0!</v>
      </c>
      <c r="M47" s="244" t="n">
        <f aca="false">COUNTIFS([1]SurveyDATA!KX$1:KX$1048576,"Y",[1]SurveyDATA!KI$1:KI$1048576,"*RELOCATION*",[1]SurveyDATA!VX$1:VX$1048576,"*SAMPLING*",[1]SurveyDATA!E$1:E$1048576,"*BRGY.185*",[1]SurveyDATA!JR$1:JR$1048576,"*NEED*",[1]SurveyDATA!KL$1:KL$1048576,"*SJDM*")</f>
        <v>0</v>
      </c>
      <c r="N47" s="221" t="e">
        <f aca="false">M47/$M$146</f>
        <v>#DIV/0!</v>
      </c>
      <c r="O47" s="244" t="n">
        <f aca="false">COUNTIFS([1]SurveyDATA!KX$1:KX$1048576,"Y",[1]SurveyDATA!KI$1:KI$1048576,"*RELOCATION*",[1]SurveyDATA!VX$1:VX$1048576,"*SAMPLING*",[1]SurveyDATA!E$1:E$1048576,"*BRGY.185*",[1]SurveyDATA!JR$1:JR$1048576,"*NEED*",[1]SurveyDATA!KL$1:KL$1048576,"UNDECIDED")</f>
        <v>0</v>
      </c>
      <c r="P47" s="245" t="n">
        <f aca="false">SUM(M47,K47,I47,G47,E47,C47)</f>
        <v>0</v>
      </c>
      <c r="Q47" s="221" t="e">
        <f aca="false">P47/$P$146</f>
        <v>#DIV/0!</v>
      </c>
    </row>
    <row r="48" customFormat="false" ht="15.75" hidden="false" customHeight="false" outlineLevel="0" collapsed="false">
      <c r="A48" s="174"/>
      <c r="B48" s="227" t="s">
        <v>104</v>
      </c>
      <c r="C48" s="82" t="n">
        <f aca="false">COUNTIFS([1]SurveyDATA!KX$1:KX$1048576,"Y",[1]SurveyDATA!KI$1:KI$1048576,"*RELOCATION*",[1]SurveyDATA!VX$1:VX$1048576,"*SAMPLING*",[1]SurveyDATA!E$1:E$1048576,"*BRGY.204*",[1]SurveyDATA!JR$1:JR$1048576,"*NEED*",[1]SurveyDATA!KL$1:KL$1048576,"*CAVITE*")</f>
        <v>0</v>
      </c>
      <c r="D48" s="242" t="e">
        <f aca="false">C48/$C$146</f>
        <v>#DIV/0!</v>
      </c>
      <c r="E48" s="249" t="n">
        <f aca="false">COUNTIFS([1]SurveyDATA!KX$1:KX$1048576,"Y",[1]SurveyDATA!KI$1:KI$1048576,"*RELOCATION*",[1]SurveyDATA!VX$1:VX$1048576,"*SAMPLING*",[1]SurveyDATA!E$1:E$1048576,"*BRGY.204*",[1]SurveyDATA!JR$1:JR$1048576,"*NEED*",[1]SurveyDATA!KL$1:KL$1048576,"*DISIPLINA*")</f>
        <v>0</v>
      </c>
      <c r="F48" s="242" t="e">
        <f aca="false">E48/$E$146</f>
        <v>#DIV/0!</v>
      </c>
      <c r="G48" s="25" t="n">
        <f aca="false">COUNTIFS([1]SurveyDATA!KX$1:KX$1048576,"Y",[1]SurveyDATA!KI$1:KI$1048576,"*RELOCATION*",[1]SurveyDATA!VX$1:VX$1048576,"*SAMPLING*",[1]SurveyDATA!E$1:E$1048576,"*BRGY.204*",[1]SurveyDATA!JR$1:JR$1048576,"*NEED*",[1]SurveyDATA!KL$1:KL$1048576,"*BOCAUE*")</f>
        <v>0</v>
      </c>
      <c r="H48" s="221" t="e">
        <f aca="false">G48/$G$146</f>
        <v>#DIV/0!</v>
      </c>
      <c r="I48" s="25" t="n">
        <f aca="false">COUNTIFS([1]SurveyDATA!KX$1:KX$1048576,"Y",[1]SurveyDATA!KI$1:KI$1048576,"*RELOCATION*",[1]SurveyDATA!VX$1:VX$1048576,"*SAMPLING*",[1]SurveyDATA!E$1:E$1048576,"*BRGY.204*",[1]SurveyDATA!JR$1:JR$1048576,"*NEED*",[1]SurveyDATA!KL$1:KL$1048576,"*GUIGUINTO*")</f>
        <v>0</v>
      </c>
      <c r="J48" s="221" t="e">
        <f aca="false">I48/$I$146</f>
        <v>#DIV/0!</v>
      </c>
      <c r="K48" s="25" t="n">
        <f aca="false">COUNTIFS([1]SurveyDATA!KX$1:KX$1048576,"Y",[1]SurveyDATA!KI$1:KI$1048576,"*RELOCATION*",[1]SurveyDATA!VX$1:VX$1048576,"*SAMPLING*",[1]SurveyDATA!E$1:E$1048576,"*BRGY.204*",[1]SurveyDATA!JR$1:JR$1048576,"*NEED*",[1]SurveyDATA!KL$1:KL$1048576,"*PANDI*")</f>
        <v>0</v>
      </c>
      <c r="L48" s="221" t="e">
        <f aca="false">K48/$K$146</f>
        <v>#DIV/0!</v>
      </c>
      <c r="M48" s="244" t="n">
        <f aca="false">COUNTIFS([1]SurveyDATA!KX$1:KX$1048576,"Y",[1]SurveyDATA!KI$1:KI$1048576,"*RELOCATION*",[1]SurveyDATA!VX$1:VX$1048576,"*SAMPLING*",[1]SurveyDATA!E$1:E$1048576,"*BRGY.204*",[1]SurveyDATA!JR$1:JR$1048576,"*NEED*",[1]SurveyDATA!KL$1:KL$1048576,"*SJDM*")</f>
        <v>0</v>
      </c>
      <c r="N48" s="221" t="e">
        <f aca="false">M48/$M$146</f>
        <v>#DIV/0!</v>
      </c>
      <c r="O48" s="244" t="n">
        <f aca="false">COUNTIFS([1]SurveyDATA!KX$1:KX$1048576,"Y",[1]SurveyDATA!KI$1:KI$1048576,"*RELOCATION*",[1]SurveyDATA!VX$1:VX$1048576,"*SAMPLING*",[1]SurveyDATA!E$1:E$1048576,"*BRGY.204*",[1]SurveyDATA!JR$1:JR$1048576,"*NEED*",[1]SurveyDATA!KL$1:KL$1048576,"UNDECIDED")</f>
        <v>0</v>
      </c>
      <c r="P48" s="245" t="n">
        <f aca="false">SUM(M48,K48,I48,G48,E48,C48)</f>
        <v>0</v>
      </c>
      <c r="Q48" s="221" t="e">
        <f aca="false">P48/$P$146</f>
        <v>#DIV/0!</v>
      </c>
    </row>
    <row r="49" customFormat="false" ht="15.75" hidden="false" customHeight="false" outlineLevel="0" collapsed="false">
      <c r="A49" s="174"/>
      <c r="B49" s="227" t="s">
        <v>105</v>
      </c>
      <c r="C49" s="82" t="n">
        <f aca="false">COUNTIFS([1]SurveyDATA!KX$1:KX$1048576,"Y",[1]SurveyDATA!KI$1:KI$1048576,"*RELOCATION*",[1]SurveyDATA!VX$1:VX$1048576,"*SAMPLING*",[1]SurveyDATA!E$1:E$1048576,"*BRGY.165*",[1]SurveyDATA!JR$1:JR$1048576,"*NEED*",[1]SurveyDATA!KL$1:KL$1048576,"*CAVITE*")</f>
        <v>0</v>
      </c>
      <c r="D49" s="242" t="e">
        <f aca="false">C49/$C$146</f>
        <v>#DIV/0!</v>
      </c>
      <c r="E49" s="249" t="n">
        <f aca="false">COUNTIFS([1]SurveyDATA!KX$1:KX$1048576,"Y",[1]SurveyDATA!KI$1:KI$1048576,"*RELOCATION*",[1]SurveyDATA!VX$1:VX$1048576,"*SAMPLING*",[1]SurveyDATA!E$1:E$1048576,"*BRGY.165*",[1]SurveyDATA!JR$1:JR$1048576,"*NEED*",[1]SurveyDATA!KL$1:KL$1048576,"*DISIPLINA*")</f>
        <v>0</v>
      </c>
      <c r="F49" s="242" t="e">
        <f aca="false">E49/$E$146</f>
        <v>#DIV/0!</v>
      </c>
      <c r="G49" s="25" t="n">
        <f aca="false">COUNTIFS([1]SurveyDATA!KX$1:KX$1048576,"Y",[1]SurveyDATA!KI$1:KI$1048576,"*RELOCATION*",[1]SurveyDATA!VX$1:VX$1048576,"*SAMPLING*",[1]SurveyDATA!E$1:E$1048576,"*BRGY.165*",[1]SurveyDATA!JR$1:JR$1048576,"*NEED*",[1]SurveyDATA!KL$1:KL$1048576,"*BOCAUE*")</f>
        <v>0</v>
      </c>
      <c r="H49" s="221" t="e">
        <f aca="false">G49/$G$146</f>
        <v>#DIV/0!</v>
      </c>
      <c r="I49" s="25" t="n">
        <f aca="false">COUNTIFS([1]SurveyDATA!KX$1:KX$1048576,"Y",[1]SurveyDATA!KI$1:KI$1048576,"*RELOCATION*",[1]SurveyDATA!VX$1:VX$1048576,"*SAMPLING*",[1]SurveyDATA!E$1:E$1048576,"*BRGY.165*",[1]SurveyDATA!JR$1:JR$1048576,"*NEED*",[1]SurveyDATA!KL$1:KL$1048576,"*GUIGUINTO*")</f>
        <v>0</v>
      </c>
      <c r="J49" s="221" t="e">
        <f aca="false">I49/$I$146</f>
        <v>#DIV/0!</v>
      </c>
      <c r="K49" s="25" t="n">
        <f aca="false">COUNTIFS([1]SurveyDATA!KX$1:KX$1048576,"Y",[1]SurveyDATA!KI$1:KI$1048576,"*RELOCATION*",[1]SurveyDATA!VX$1:VX$1048576,"*SAMPLING*",[1]SurveyDATA!E$1:E$1048576,"*BRGY.165*",[1]SurveyDATA!JR$1:JR$1048576,"*NEED*",[1]SurveyDATA!KL$1:KL$1048576,"*PANDI*")</f>
        <v>0</v>
      </c>
      <c r="L49" s="221" t="e">
        <f aca="false">K49/$K$146</f>
        <v>#DIV/0!</v>
      </c>
      <c r="M49" s="244" t="n">
        <f aca="false">COUNTIFS([1]SurveyDATA!KX$1:KX$1048576,"Y",[1]SurveyDATA!KI$1:KI$1048576,"*RELOCATION*",[1]SurveyDATA!VX$1:VX$1048576,"*SAMPLING*",[1]SurveyDATA!E$1:E$1048576,"*BRGY.165*",[1]SurveyDATA!JR$1:JR$1048576,"*NEED*",[1]SurveyDATA!KL$1:KL$1048576,"*SJDM*")</f>
        <v>0</v>
      </c>
      <c r="N49" s="221" t="e">
        <f aca="false">M49/$M$146</f>
        <v>#DIV/0!</v>
      </c>
      <c r="O49" s="244" t="n">
        <f aca="false">COUNTIFS([1]SurveyDATA!KX$1:KX$1048576,"Y",[1]SurveyDATA!KI$1:KI$1048576,"*RELOCATION*",[1]SurveyDATA!VX$1:VX$1048576,"*SAMPLING*",[1]SurveyDATA!E$1:E$1048576,"*BRGY.165*",[1]SurveyDATA!JR$1:JR$1048576,"*NEED*",[1]SurveyDATA!KL$1:KL$1048576,"UNDECIDED")</f>
        <v>0</v>
      </c>
      <c r="P49" s="245" t="n">
        <f aca="false">SUM(M49,K49,I49,G49,E49,C49)</f>
        <v>0</v>
      </c>
      <c r="Q49" s="221" t="e">
        <f aca="false">P49/$P$146</f>
        <v>#DIV/0!</v>
      </c>
    </row>
    <row r="50" customFormat="false" ht="15.75" hidden="false" customHeight="false" outlineLevel="0" collapsed="false">
      <c r="A50" s="174"/>
      <c r="B50" s="227" t="s">
        <v>106</v>
      </c>
      <c r="C50" s="82" t="n">
        <f aca="false">COUNTIFS([1]SurveyDATA!KX$1:KX$1048576,"Y",[1]SurveyDATA!KI$1:KI$1048576,"*RELOCATION*",[1]SurveyDATA!VX$1:VX$1048576,"*SAMPLING*",[1]SurveyDATA!E$1:E$1048576,"*BRGY.164*",[1]SurveyDATA!JR$1:JR$1048576,"*NEED*",[1]SurveyDATA!KL$1:KL$1048576,"*CAVITE*")</f>
        <v>0</v>
      </c>
      <c r="D50" s="242" t="e">
        <f aca="false">C50/$C$146</f>
        <v>#DIV/0!</v>
      </c>
      <c r="E50" s="249" t="n">
        <f aca="false">COUNTIFS([1]SurveyDATA!KX$1:KX$1048576,"Y",[1]SurveyDATA!KI$1:KI$1048576,"*RELOCATION*",[1]SurveyDATA!VX$1:VX$1048576,"*SAMPLING*",[1]SurveyDATA!E$1:E$1048576,"*BRGY.3164*",[1]SurveyDATA!JR$1:JR$1048576,"*NEED*",[1]SurveyDATA!KL$1:KL$1048576,"*DISIPLINA*")</f>
        <v>0</v>
      </c>
      <c r="F50" s="242" t="e">
        <f aca="false">E50/$E$146</f>
        <v>#DIV/0!</v>
      </c>
      <c r="G50" s="25" t="n">
        <f aca="false">COUNTIFS([1]SurveyDATA!KX$1:KX$1048576,"Y",[1]SurveyDATA!KI$1:KI$1048576,"*RELOCATION*",[1]SurveyDATA!VX$1:VX$1048576,"*SAMPLING*",[1]SurveyDATA!E$1:E$1048576,"*BRGY.164*",[1]SurveyDATA!JR$1:JR$1048576,"*NEED*",[1]SurveyDATA!KL$1:KL$1048576,"*BOCAUE*")</f>
        <v>0</v>
      </c>
      <c r="H50" s="221" t="e">
        <f aca="false">G50/$G$146</f>
        <v>#DIV/0!</v>
      </c>
      <c r="I50" s="25" t="n">
        <f aca="false">COUNTIFS([1]SurveyDATA!KX$1:KX$1048576,"Y",[1]SurveyDATA!KI$1:KI$1048576,"*RELOCATION*",[1]SurveyDATA!VX$1:VX$1048576,"*SAMPLING*",[1]SurveyDATA!E$1:E$1048576,"*BRGY.164*",[1]SurveyDATA!JR$1:JR$1048576,"*NEED*",[1]SurveyDATA!KL$1:KL$1048576,"*GUIGUINTO*")</f>
        <v>0</v>
      </c>
      <c r="J50" s="221" t="e">
        <f aca="false">I50/$I$146</f>
        <v>#DIV/0!</v>
      </c>
      <c r="K50" s="25" t="n">
        <f aca="false">COUNTIFS([1]SurveyDATA!KX$1:KX$1048576,"Y",[1]SurveyDATA!KI$1:KI$1048576,"*RELOCATION*",[1]SurveyDATA!VX$1:VX$1048576,"*SAMPLING*",[1]SurveyDATA!E$1:E$1048576,"*BRGY.164*",[1]SurveyDATA!JR$1:JR$1048576,"*NEED*",[1]SurveyDATA!KL$1:KL$1048576,"*PANDI*")</f>
        <v>0</v>
      </c>
      <c r="L50" s="221" t="e">
        <f aca="false">K50/$K$146</f>
        <v>#DIV/0!</v>
      </c>
      <c r="M50" s="244" t="n">
        <f aca="false">COUNTIFS([1]SurveyDATA!KX$1:KX$1048576,"Y",[1]SurveyDATA!KI$1:KI$1048576,"*RELOCATION*",[1]SurveyDATA!VX$1:VX$1048576,"*SAMPLING*",[1]SurveyDATA!E$1:E$1048576,"*BRGY.164*",[1]SurveyDATA!JR$1:JR$1048576,"*NEED*",[1]SurveyDATA!KL$1:KL$1048576,"*SJDM*")</f>
        <v>0</v>
      </c>
      <c r="N50" s="221" t="e">
        <f aca="false">M50/$M$146</f>
        <v>#DIV/0!</v>
      </c>
      <c r="O50" s="244" t="n">
        <f aca="false">COUNTIFS([1]SurveyDATA!KX$1:KX$1048576,"Y",[1]SurveyDATA!KI$1:KI$1048576,"*RELOCATION*",[1]SurveyDATA!VX$1:VX$1048576,"*SAMPLING*",[1]SurveyDATA!E$1:E$1048576,"*BRGY.164*",[1]SurveyDATA!JR$1:JR$1048576,"*NEED*",[1]SurveyDATA!KL$1:KL$1048576,"UNDECIDED")</f>
        <v>0</v>
      </c>
      <c r="P50" s="245" t="n">
        <f aca="false">SUM(M50,K50,I50,G50,E50,C50)</f>
        <v>0</v>
      </c>
      <c r="Q50" s="221" t="e">
        <f aca="false">P50/$P$146</f>
        <v>#DIV/0!</v>
      </c>
    </row>
    <row r="51" customFormat="false" ht="15.75" hidden="false" customHeight="false" outlineLevel="0" collapsed="false">
      <c r="A51" s="174"/>
      <c r="B51" s="227" t="s">
        <v>107</v>
      </c>
      <c r="C51" s="82" t="n">
        <f aca="false">COUNTIFS([1]SurveyDATA!KX$1:KX$1048576,"Y",[1]SurveyDATA!KI$1:KI$1048576,"*RELOCATION*",[1]SurveyDATA!VX$1:VX$1048576,"*SAMPLING*",[1]SurveyDATA!E$1:E$1048576,"*BRGY.152*",[1]SurveyDATA!JR$1:JR$1048576,"*NEED*",[1]SurveyDATA!KL$1:KL$1048576,"*CAVITE*")</f>
        <v>0</v>
      </c>
      <c r="D51" s="242" t="e">
        <f aca="false">C51/$C$146</f>
        <v>#DIV/0!</v>
      </c>
      <c r="E51" s="249" t="n">
        <f aca="false">COUNTIFS([1]SurveyDATA!KX$1:KX$1048576,"Y",[1]SurveyDATA!KI$1:KI$1048576,"*RELOCATION*",[1]SurveyDATA!VX$1:VX$1048576,"*SAMPLING*",[1]SurveyDATA!E$1:E$1048576,"*BRGY.152*",[1]SurveyDATA!JR$1:JR$1048576,"*NEED*",[1]SurveyDATA!KL$1:KL$1048576,"*DISIPLINA*")</f>
        <v>0</v>
      </c>
      <c r="F51" s="242" t="e">
        <f aca="false">E51/$E$146</f>
        <v>#DIV/0!</v>
      </c>
      <c r="G51" s="25" t="n">
        <f aca="false">COUNTIFS([1]SurveyDATA!KX$1:KX$1048576,"Y",[1]SurveyDATA!KI$1:KI$1048576,"*RELOCATION*",[1]SurveyDATA!VX$1:VX$1048576,"*SAMPLING*",[1]SurveyDATA!E$1:E$1048576,"*BRGY.152*",[1]SurveyDATA!JR$1:JR$1048576,"*NEED*",[1]SurveyDATA!KL$1:KL$1048576,"*BOCAUE*")</f>
        <v>0</v>
      </c>
      <c r="H51" s="221" t="e">
        <f aca="false">G51/$G$146</f>
        <v>#DIV/0!</v>
      </c>
      <c r="I51" s="25" t="n">
        <f aca="false">COUNTIFS([1]SurveyDATA!KX$1:KX$1048576,"Y",[1]SurveyDATA!KI$1:KI$1048576,"*RELOCATION*",[1]SurveyDATA!VX$1:VX$1048576,"*SAMPLING*",[1]SurveyDATA!E$1:E$1048576,"*BRGY.152*",[1]SurveyDATA!JR$1:JR$1048576,"*NEED*",[1]SurveyDATA!KL$1:KL$1048576,"*GUIGUINTO*")</f>
        <v>0</v>
      </c>
      <c r="J51" s="221" t="e">
        <f aca="false">I51/$I$146</f>
        <v>#DIV/0!</v>
      </c>
      <c r="K51" s="25" t="n">
        <f aca="false">COUNTIFS([1]SurveyDATA!KX$1:KX$1048576,"Y",[1]SurveyDATA!KI$1:KI$1048576,"*RELOCATION*",[1]SurveyDATA!VX$1:VX$1048576,"*SAMPLING*",[1]SurveyDATA!E$1:E$1048576,"*BRGY.152*",[1]SurveyDATA!JR$1:JR$1048576,"*NEED*",[1]SurveyDATA!KL$1:KL$1048576,"*PANDI*")</f>
        <v>0</v>
      </c>
      <c r="L51" s="221" t="e">
        <f aca="false">K51/$K$146</f>
        <v>#DIV/0!</v>
      </c>
      <c r="M51" s="244" t="n">
        <f aca="false">COUNTIFS([1]SurveyDATA!KX$1:KX$1048576,"Y",[1]SurveyDATA!KI$1:KI$1048576,"*RELOCATION*",[1]SurveyDATA!VX$1:VX$1048576,"*SAMPLING*",[1]SurveyDATA!E$1:E$1048576,"*BRGY.152*",[1]SurveyDATA!JR$1:JR$1048576,"*NEED*",[1]SurveyDATA!KL$1:KL$1048576,"*SJDM*")</f>
        <v>0</v>
      </c>
      <c r="N51" s="221" t="e">
        <f aca="false">M51/$M$146</f>
        <v>#DIV/0!</v>
      </c>
      <c r="O51" s="244" t="n">
        <f aca="false">COUNTIFS([1]SurveyDATA!KX$1:KX$1048576,"Y",[1]SurveyDATA!KI$1:KI$1048576,"*RELOCATION*",[1]SurveyDATA!VX$1:VX$1048576,"*SAMPLING*",[1]SurveyDATA!E$1:E$1048576,"*BRGY.152*",[1]SurveyDATA!JR$1:JR$1048576,"*NEED*",[1]SurveyDATA!KL$1:KL$1048576,"UNDECIDED")</f>
        <v>0</v>
      </c>
      <c r="P51" s="245" t="n">
        <f aca="false">SUM(M51,K51,I51,G51,E51,C51)</f>
        <v>0</v>
      </c>
      <c r="Q51" s="221" t="e">
        <f aca="false">P51/$P$146</f>
        <v>#DIV/0!</v>
      </c>
    </row>
    <row r="52" customFormat="false" ht="15.75" hidden="false" customHeight="false" outlineLevel="0" collapsed="false">
      <c r="A52" s="174"/>
      <c r="B52" s="227" t="s">
        <v>108</v>
      </c>
      <c r="C52" s="82" t="n">
        <f aca="false">COUNTIFS([1]SurveyDATA!KX$1:KX$1048576,"Y",[1]SurveyDATA!KI$1:KI$1048576,"*RELOCATION*",[1]SurveyDATA!VX$1:VX$1048576,"*SAMPLING*",[1]SurveyDATA!E$1:E$1048576,"*BRGY.155*",[1]SurveyDATA!JR$1:JR$1048576,"*NEED*",[1]SurveyDATA!KL$1:KL$1048576,"*CAVITE*")</f>
        <v>0</v>
      </c>
      <c r="D52" s="242" t="e">
        <f aca="false">C52/$C$146</f>
        <v>#DIV/0!</v>
      </c>
      <c r="E52" s="249" t="n">
        <f aca="false">COUNTIFS([1]SurveyDATA!KX$1:KX$1048576,"Y",[1]SurveyDATA!KI$1:KI$1048576,"*RELOCATION*",[1]SurveyDATA!VX$1:VX$1048576,"*SAMPLING*",[1]SurveyDATA!E$1:E$1048576,"*BRGY.155*",[1]SurveyDATA!JR$1:JR$1048576,"*NEED*",[1]SurveyDATA!KL$1:KL$1048576,"*DISIPLINA*")</f>
        <v>0</v>
      </c>
      <c r="F52" s="242" t="e">
        <f aca="false">E52/$E$146</f>
        <v>#DIV/0!</v>
      </c>
      <c r="G52" s="25" t="n">
        <f aca="false">COUNTIFS([1]SurveyDATA!KX$1:KX$1048576,"Y",[1]SurveyDATA!KI$1:KI$1048576,"*RELOCATION*",[1]SurveyDATA!VX$1:VX$1048576,"*SAMPLING*",[1]SurveyDATA!E$1:E$1048576,"*BRGY.155*",[1]SurveyDATA!JR$1:JR$1048576,"*NEED*",[1]SurveyDATA!KL$1:KL$1048576,"*BOCAUE*")</f>
        <v>0</v>
      </c>
      <c r="H52" s="221" t="e">
        <f aca="false">G52/$G$146</f>
        <v>#DIV/0!</v>
      </c>
      <c r="I52" s="25" t="n">
        <f aca="false">COUNTIFS([1]SurveyDATA!KX$1:KX$1048576,"Y",[1]SurveyDATA!KI$1:KI$1048576,"*RELOCATION*",[1]SurveyDATA!VX$1:VX$1048576,"*SAMPLING*",[1]SurveyDATA!E$1:E$1048576,"*BRGY.155*",[1]SurveyDATA!JR$1:JR$1048576,"*NEED*",[1]SurveyDATA!KL$1:KL$1048576,"*GUIGUINTO*")</f>
        <v>0</v>
      </c>
      <c r="J52" s="221" t="e">
        <f aca="false">I52/$I$146</f>
        <v>#DIV/0!</v>
      </c>
      <c r="K52" s="25" t="n">
        <f aca="false">COUNTIFS([1]SurveyDATA!KX$1:KX$1048576,"Y",[1]SurveyDATA!KI$1:KI$1048576,"*RELOCATION*",[1]SurveyDATA!VX$1:VX$1048576,"*SAMPLING*",[1]SurveyDATA!E$1:E$1048576,"*BRGY.155*",[1]SurveyDATA!JR$1:JR$1048576,"*NEED*",[1]SurveyDATA!KL$1:KL$1048576,"*PANDI*")</f>
        <v>0</v>
      </c>
      <c r="L52" s="221" t="e">
        <f aca="false">K52/$K$146</f>
        <v>#DIV/0!</v>
      </c>
      <c r="M52" s="244" t="n">
        <f aca="false">COUNTIFS([1]SurveyDATA!KX$1:KX$1048576,"Y",[1]SurveyDATA!KI$1:KI$1048576,"*RELOCATION*",[1]SurveyDATA!VX$1:VX$1048576,"*SAMPLING*",[1]SurveyDATA!E$1:E$1048576,"*BRGY.155*",[1]SurveyDATA!JR$1:JR$1048576,"*NEED*",[1]SurveyDATA!KL$1:KL$1048576,"*SJDM*")</f>
        <v>0</v>
      </c>
      <c r="N52" s="221" t="e">
        <f aca="false">M52/$M$146</f>
        <v>#DIV/0!</v>
      </c>
      <c r="O52" s="244" t="n">
        <f aca="false">COUNTIFS([1]SurveyDATA!KX$1:KX$1048576,"Y",[1]SurveyDATA!KI$1:KI$1048576,"*RELOCATION*",[1]SurveyDATA!VX$1:VX$1048576,"*SAMPLING*",[1]SurveyDATA!E$1:E$1048576,"*BRGY.155*",[1]SurveyDATA!JR$1:JR$1048576,"*NEED*",[1]SurveyDATA!KL$1:KL$1048576,"UNDECIDED")</f>
        <v>0</v>
      </c>
      <c r="P52" s="245" t="n">
        <f aca="false">SUM(M52,K52,I52,G52,E52,C52)</f>
        <v>0</v>
      </c>
      <c r="Q52" s="221" t="e">
        <f aca="false">P52/$P$146</f>
        <v>#DIV/0!</v>
      </c>
    </row>
    <row r="53" customFormat="false" ht="15.75" hidden="false" customHeight="false" outlineLevel="0" collapsed="false">
      <c r="A53" s="174"/>
      <c r="B53" s="227" t="s">
        <v>109</v>
      </c>
      <c r="C53" s="82" t="n">
        <f aca="false">COUNTIFS([1]SurveyDATA!KX$1:KX$1048576,"Y",[1]SurveyDATA!KI$1:KI$1048576,"*RELOCATION*",[1]SurveyDATA!VX$1:VX$1048576,"*SAMPLING*",[1]SurveyDATA!E$1:E$1048576,"*BRGY.159*",[1]SurveyDATA!JR$1:JR$1048576,"*NEED*",[1]SurveyDATA!KL$1:KL$1048576,"*CAVITE*")</f>
        <v>0</v>
      </c>
      <c r="D53" s="242" t="e">
        <f aca="false">C53/$C$146</f>
        <v>#DIV/0!</v>
      </c>
      <c r="E53" s="249" t="n">
        <f aca="false">COUNTIFS([1]SurveyDATA!KX$1:KX$1048576,"Y",[1]SurveyDATA!KI$1:KI$1048576,"*RELOCATION*",[1]SurveyDATA!VX$1:VX$1048576,"*SAMPLING*",[1]SurveyDATA!E$1:E$1048576,"*BRGY.159*",[1]SurveyDATA!JR$1:JR$1048576,"*NEED*",[1]SurveyDATA!KL$1:KL$1048576,"*DISIPLINA*")</f>
        <v>0</v>
      </c>
      <c r="F53" s="242" t="e">
        <f aca="false">E53/$E$146</f>
        <v>#DIV/0!</v>
      </c>
      <c r="G53" s="25" t="n">
        <f aca="false">COUNTIFS([1]SurveyDATA!KX$1:KX$1048576,"Y",[1]SurveyDATA!KI$1:KI$1048576,"*RELOCATION*",[1]SurveyDATA!VX$1:VX$1048576,"*SAMPLING*",[1]SurveyDATA!E$1:E$1048576,"*BRGY.159*",[1]SurveyDATA!JR$1:JR$1048576,"*NEED*",[1]SurveyDATA!KL$1:KL$1048576,"*BOCAUE*")</f>
        <v>0</v>
      </c>
      <c r="H53" s="221" t="e">
        <f aca="false">G53/$G$146</f>
        <v>#DIV/0!</v>
      </c>
      <c r="I53" s="25" t="n">
        <f aca="false">COUNTIFS([1]SurveyDATA!KX$1:KX$1048576,"Y",[1]SurveyDATA!KI$1:KI$1048576,"*RELOCATION*",[1]SurveyDATA!VX$1:VX$1048576,"*SAMPLING*",[1]SurveyDATA!E$1:E$1048576,"*BRGY.159*",[1]SurveyDATA!JR$1:JR$1048576,"*NEED*",[1]SurveyDATA!KL$1:KL$1048576,"*GUIGUINTO*")</f>
        <v>0</v>
      </c>
      <c r="J53" s="221" t="e">
        <f aca="false">I53/$I$146</f>
        <v>#DIV/0!</v>
      </c>
      <c r="K53" s="25" t="n">
        <f aca="false">COUNTIFS([1]SurveyDATA!KX$1:KX$1048576,"Y",[1]SurveyDATA!KI$1:KI$1048576,"*RELOCATION*",[1]SurveyDATA!VX$1:VX$1048576,"*SAMPLING*",[1]SurveyDATA!E$1:E$1048576,"*BRGY.159*",[1]SurveyDATA!JR$1:JR$1048576,"*NEED*",[1]SurveyDATA!KL$1:KL$1048576,"*PANDI*")</f>
        <v>0</v>
      </c>
      <c r="L53" s="221" t="e">
        <f aca="false">K53/$K$146</f>
        <v>#DIV/0!</v>
      </c>
      <c r="M53" s="244" t="n">
        <f aca="false">COUNTIFS([1]SurveyDATA!KX$1:KX$1048576,"Y",[1]SurveyDATA!KI$1:KI$1048576,"*RELOCATION*",[1]SurveyDATA!VX$1:VX$1048576,"*SAMPLING*",[1]SurveyDATA!E$1:E$1048576,"*BRGY.159*",[1]SurveyDATA!JR$1:JR$1048576,"*NEED*",[1]SurveyDATA!KL$1:KL$1048576,"*SJDM*")</f>
        <v>0</v>
      </c>
      <c r="N53" s="221" t="e">
        <f aca="false">M53/$M$146</f>
        <v>#DIV/0!</v>
      </c>
      <c r="O53" s="244" t="n">
        <f aca="false">COUNTIFS([1]SurveyDATA!KX$1:KX$1048576,"Y",[1]SurveyDATA!KI$1:KI$1048576,"*RELOCATION*",[1]SurveyDATA!VX$1:VX$1048576,"*SAMPLING*",[1]SurveyDATA!E$1:E$1048576,"*BRGY.159*",[1]SurveyDATA!JR$1:JR$1048576,"*NEED*",[1]SurveyDATA!KL$1:KL$1048576,"UNDECIDED")</f>
        <v>0</v>
      </c>
      <c r="P53" s="245" t="n">
        <f aca="false">SUM(M53,K53,I53,G53,E53,C53)</f>
        <v>0</v>
      </c>
      <c r="Q53" s="221" t="e">
        <f aca="false">P53/$P$146</f>
        <v>#DIV/0!</v>
      </c>
    </row>
    <row r="54" customFormat="false" ht="15.75" hidden="false" customHeight="false" outlineLevel="0" collapsed="false">
      <c r="A54" s="174"/>
      <c r="B54" s="227" t="s">
        <v>110</v>
      </c>
      <c r="C54" s="82" t="n">
        <f aca="false">COUNTIFS([1]SurveyDATA!KX$1:KX$1048576,"Y",[1]SurveyDATA!KI$1:KI$1048576,"*RELOCATION*",[1]SurveyDATA!VX$1:VX$1048576,"*SAMPLING*",[1]SurveyDATA!E$1:E$1048576,"*BRGY.156*",[1]SurveyDATA!JR$1:JR$1048576,"*NEED*",[1]SurveyDATA!KL$1:KL$1048576,"*CAVITE*")</f>
        <v>0</v>
      </c>
      <c r="D54" s="242" t="e">
        <f aca="false">C54/$C$146</f>
        <v>#DIV/0!</v>
      </c>
      <c r="E54" s="249" t="n">
        <f aca="false">COUNTIFS([1]SurveyDATA!KX$1:KX$1048576,"Y",[1]SurveyDATA!KI$1:KI$1048576,"*RELOCATION*",[1]SurveyDATA!VX$1:VX$1048576,"*SAMPLING*",[1]SurveyDATA!E$1:E$1048576,"*BRGY.3156*",[1]SurveyDATA!JR$1:JR$1048576,"*NEED*",[1]SurveyDATA!KL$1:KL$1048576,"*DISIPLINA*")</f>
        <v>0</v>
      </c>
      <c r="F54" s="242" t="e">
        <f aca="false">E54/$E$146</f>
        <v>#DIV/0!</v>
      </c>
      <c r="G54" s="25" t="n">
        <f aca="false">COUNTIFS([1]SurveyDATA!KX$1:KX$1048576,"Y",[1]SurveyDATA!KI$1:KI$1048576,"*RELOCATION*",[1]SurveyDATA!VX$1:VX$1048576,"*SAMPLING*",[1]SurveyDATA!E$1:E$1048576,"*BRGY.156*",[1]SurveyDATA!JR$1:JR$1048576,"*NEED*",[1]SurveyDATA!KL$1:KL$1048576,"*BOCAUE*")</f>
        <v>0</v>
      </c>
      <c r="H54" s="221" t="e">
        <f aca="false">G54/$G$146</f>
        <v>#DIV/0!</v>
      </c>
      <c r="I54" s="25" t="n">
        <f aca="false">COUNTIFS([1]SurveyDATA!KX$1:KX$1048576,"Y",[1]SurveyDATA!KI$1:KI$1048576,"*RELOCATION*",[1]SurveyDATA!VX$1:VX$1048576,"*SAMPLING*",[1]SurveyDATA!E$1:E$1048576,"*BRGY.156*",[1]SurveyDATA!JR$1:JR$1048576,"*NEED*",[1]SurveyDATA!KL$1:KL$1048576,"*GUIGUINTO*")</f>
        <v>0</v>
      </c>
      <c r="J54" s="221" t="e">
        <f aca="false">I54/$I$146</f>
        <v>#DIV/0!</v>
      </c>
      <c r="K54" s="25" t="n">
        <f aca="false">COUNTIFS([1]SurveyDATA!KX$1:KX$1048576,"Y",[1]SurveyDATA!KI$1:KI$1048576,"*RELOCATION*",[1]SurveyDATA!VX$1:VX$1048576,"*SAMPLING*",[1]SurveyDATA!E$1:E$1048576,"*BRGY.156*",[1]SurveyDATA!JR$1:JR$1048576,"*NEED*",[1]SurveyDATA!KL$1:KL$1048576,"*PANDI*")</f>
        <v>0</v>
      </c>
      <c r="L54" s="221" t="e">
        <f aca="false">K54/$K$146</f>
        <v>#DIV/0!</v>
      </c>
      <c r="M54" s="244" t="n">
        <f aca="false">COUNTIFS([1]SurveyDATA!KX$1:KX$1048576,"Y",[1]SurveyDATA!KI$1:KI$1048576,"*RELOCATION*",[1]SurveyDATA!VX$1:VX$1048576,"*SAMPLING*",[1]SurveyDATA!E$1:E$1048576,"*BRGY.156*",[1]SurveyDATA!JR$1:JR$1048576,"*NEED*",[1]SurveyDATA!KL$1:KL$1048576,"*SJDM*")</f>
        <v>0</v>
      </c>
      <c r="N54" s="221" t="e">
        <f aca="false">M54/$M$146</f>
        <v>#DIV/0!</v>
      </c>
      <c r="O54" s="244" t="n">
        <f aca="false">COUNTIFS([1]SurveyDATA!KX$1:KX$1048576,"Y",[1]SurveyDATA!KI$1:KI$1048576,"*RELOCATION*",[1]SurveyDATA!VX$1:VX$1048576,"*SAMPLING*",[1]SurveyDATA!E$1:E$1048576,"*BRGY.156*",[1]SurveyDATA!JR$1:JR$1048576,"*NEED*",[1]SurveyDATA!KL$1:KL$1048576,"UNDECIDED")</f>
        <v>0</v>
      </c>
      <c r="P54" s="245" t="n">
        <f aca="false">SUM(M54,K54,I54,G54,E54,C54)</f>
        <v>0</v>
      </c>
      <c r="Q54" s="221" t="e">
        <f aca="false">P54/$P$146</f>
        <v>#DIV/0!</v>
      </c>
    </row>
    <row r="55" customFormat="false" ht="15.75" hidden="false" customHeight="false" outlineLevel="0" collapsed="false">
      <c r="A55" s="174"/>
      <c r="B55" s="227" t="s">
        <v>111</v>
      </c>
      <c r="C55" s="82" t="n">
        <f aca="false">COUNTIFS([1]SurveyDATA!KX$1:KX$1048576,"Y",[1]SurveyDATA!KI$1:KI$1048576,"*RELOCATION*",[1]SurveyDATA!VX$1:VX$1048576,"*SAMPLING*",[1]SurveyDATA!E$1:E$1048576,"*BRGY.53*",[1]SurveyDATA!JR$1:JR$1048576,"*NEED*",[1]SurveyDATA!KL$1:KL$1048576,"*CAVITE*")</f>
        <v>0</v>
      </c>
      <c r="D55" s="242" t="e">
        <f aca="false">C55/$C$146</f>
        <v>#DIV/0!</v>
      </c>
      <c r="E55" s="249" t="n">
        <f aca="false">COUNTIFS([1]SurveyDATA!KX$1:KX$1048576,"Y",[1]SurveyDATA!KI$1:KI$1048576,"*RELOCATION*",[1]SurveyDATA!VX$1:VX$1048576,"*SAMPLING*",[1]SurveyDATA!E$1:E$1048576,"*BRGY.53*",[1]SurveyDATA!JR$1:JR$1048576,"*NEED*",[1]SurveyDATA!KL$1:KL$1048576,"*DISIPLINA*")</f>
        <v>0</v>
      </c>
      <c r="F55" s="242" t="e">
        <f aca="false">E55/$E$146</f>
        <v>#DIV/0!</v>
      </c>
      <c r="G55" s="25" t="n">
        <f aca="false">COUNTIFS([1]SurveyDATA!KX$1:KX$1048576,"Y",[1]SurveyDATA!KI$1:KI$1048576,"*RELOCATION*",[1]SurveyDATA!VX$1:VX$1048576,"*SAMPLING*",[1]SurveyDATA!E$1:E$1048576,"*BRGY.53*",[1]SurveyDATA!JR$1:JR$1048576,"*NEED*",[1]SurveyDATA!KL$1:KL$1048576,"*BOCAUE*")</f>
        <v>0</v>
      </c>
      <c r="H55" s="221" t="e">
        <f aca="false">G55/$G$146</f>
        <v>#DIV/0!</v>
      </c>
      <c r="I55" s="25" t="n">
        <f aca="false">COUNTIFS([1]SurveyDATA!KX$1:KX$1048576,"Y",[1]SurveyDATA!KI$1:KI$1048576,"*RELOCATION*",[1]SurveyDATA!VX$1:VX$1048576,"*SAMPLING*",[1]SurveyDATA!E$1:E$1048576,"*BRGY.53*",[1]SurveyDATA!JR$1:JR$1048576,"*NEED*",[1]SurveyDATA!KL$1:KL$1048576,"*GUIGUINTO*")</f>
        <v>0</v>
      </c>
      <c r="J55" s="221" t="e">
        <f aca="false">I55/$I$146</f>
        <v>#DIV/0!</v>
      </c>
      <c r="K55" s="25" t="n">
        <f aca="false">COUNTIFS([1]SurveyDATA!KX$1:KX$1048576,"Y",[1]SurveyDATA!KI$1:KI$1048576,"*RELOCATION*",[1]SurveyDATA!VX$1:VX$1048576,"*SAMPLING*",[1]SurveyDATA!E$1:E$1048576,"*BRGY.53*",[1]SurveyDATA!JR$1:JR$1048576,"*NEED*",[1]SurveyDATA!KL$1:KL$1048576,"*PANDI*")</f>
        <v>0</v>
      </c>
      <c r="L55" s="221" t="e">
        <f aca="false">K55/$K$146</f>
        <v>#DIV/0!</v>
      </c>
      <c r="M55" s="244" t="n">
        <f aca="false">COUNTIFS([1]SurveyDATA!KX$1:KX$1048576,"Y",[1]SurveyDATA!KI$1:KI$1048576,"*RELOCATION*",[1]SurveyDATA!VX$1:VX$1048576,"*SAMPLING*",[1]SurveyDATA!E$1:E$1048576,"*BRGY.53*",[1]SurveyDATA!JR$1:JR$1048576,"*NEED*",[1]SurveyDATA!KL$1:KL$1048576,"*SJDM*")</f>
        <v>0</v>
      </c>
      <c r="N55" s="221" t="e">
        <f aca="false">M55/$M$146</f>
        <v>#DIV/0!</v>
      </c>
      <c r="O55" s="244" t="n">
        <f aca="false">COUNTIFS([1]SurveyDATA!KX$1:KX$1048576,"Y",[1]SurveyDATA!KI$1:KI$1048576,"*RELOCATION*",[1]SurveyDATA!VX$1:VX$1048576,"*SAMPLING*",[1]SurveyDATA!E$1:E$1048576,"*BRGY.53*",[1]SurveyDATA!JR$1:JR$1048576,"*NEED*",[1]SurveyDATA!KL$1:KL$1048576,"UNDECIDED")</f>
        <v>0</v>
      </c>
      <c r="P55" s="245" t="n">
        <f aca="false">SUM(M55,K55,I55,G55,E55,C55)</f>
        <v>0</v>
      </c>
      <c r="Q55" s="221" t="e">
        <f aca="false">P55/$P$146</f>
        <v>#DIV/0!</v>
      </c>
    </row>
    <row r="56" customFormat="false" ht="15.75" hidden="false" customHeight="false" outlineLevel="0" collapsed="false">
      <c r="A56" s="174"/>
      <c r="B56" s="227" t="s">
        <v>112</v>
      </c>
      <c r="C56" s="82" t="n">
        <f aca="false">COUNTIFS([1]SurveyDATA!KX$1:KX$1048576,"Y",[1]SurveyDATA!KI$1:KI$1048576,"*RELOCATION*",[1]SurveyDATA!VX$1:VX$1048576,"*SAMPLING*",[1]SurveyDATA!E$1:E$1048576,"*BRGY.50*",[1]SurveyDATA!JR$1:JR$1048576,"*NEED*",[1]SurveyDATA!KL$1:KL$1048576,"*CAVITE*")</f>
        <v>0</v>
      </c>
      <c r="D56" s="242" t="e">
        <f aca="false">C56/$C$146</f>
        <v>#DIV/0!</v>
      </c>
      <c r="E56" s="249" t="n">
        <f aca="false">COUNTIFS([1]SurveyDATA!KX$1:KX$1048576,"Y",[1]SurveyDATA!KI$1:KI$1048576,"*RELOCATION*",[1]SurveyDATA!VX$1:VX$1048576,"*SAMPLING*",[1]SurveyDATA!E$1:E$1048576,"*BRGY.50*",[1]SurveyDATA!JR$1:JR$1048576,"*NEED*",[1]SurveyDATA!KL$1:KL$1048576,"*DISIPLINA*")</f>
        <v>0</v>
      </c>
      <c r="F56" s="242" t="e">
        <f aca="false">E56/$E$146</f>
        <v>#DIV/0!</v>
      </c>
      <c r="G56" s="25" t="n">
        <f aca="false">COUNTIFS([1]SurveyDATA!KX$1:KX$1048576,"Y",[1]SurveyDATA!KI$1:KI$1048576,"*RELOCATION*",[1]SurveyDATA!VX$1:VX$1048576,"*SAMPLING*",[1]SurveyDATA!E$1:E$1048576,"*BRGY.50*",[1]SurveyDATA!JR$1:JR$1048576,"*NEED*",[1]SurveyDATA!KL$1:KL$1048576,"*BOCAUE*")</f>
        <v>0</v>
      </c>
      <c r="H56" s="221" t="e">
        <f aca="false">G56/$G$146</f>
        <v>#DIV/0!</v>
      </c>
      <c r="I56" s="25" t="n">
        <f aca="false">COUNTIFS([1]SurveyDATA!KX$1:KX$1048576,"Y",[1]SurveyDATA!KI$1:KI$1048576,"*RELOCATION*",[1]SurveyDATA!VX$1:VX$1048576,"*SAMPLING*",[1]SurveyDATA!E$1:E$1048576,"*BRGY.50*",[1]SurveyDATA!JR$1:JR$1048576,"*NEED*",[1]SurveyDATA!KL$1:KL$1048576,"*GUIGUINTO*")</f>
        <v>0</v>
      </c>
      <c r="J56" s="221" t="e">
        <f aca="false">I56/$I$146</f>
        <v>#DIV/0!</v>
      </c>
      <c r="K56" s="25" t="n">
        <f aca="false">COUNTIFS([1]SurveyDATA!KX$1:KX$1048576,"Y",[1]SurveyDATA!KI$1:KI$1048576,"*RELOCATION*",[1]SurveyDATA!VX$1:VX$1048576,"*SAMPLING*",[1]SurveyDATA!E$1:E$1048576,"*BRGY.50*",[1]SurveyDATA!JR$1:JR$1048576,"*NEED*",[1]SurveyDATA!KL$1:KL$1048576,"*PANDI*")</f>
        <v>0</v>
      </c>
      <c r="L56" s="221" t="e">
        <f aca="false">K56/$K$146</f>
        <v>#DIV/0!</v>
      </c>
      <c r="M56" s="244" t="n">
        <f aca="false">COUNTIFS([1]SurveyDATA!KX$1:KX$1048576,"Y",[1]SurveyDATA!KI$1:KI$1048576,"*RELOCATION*",[1]SurveyDATA!VX$1:VX$1048576,"*SAMPLING*",[1]SurveyDATA!E$1:E$1048576,"*BRGY.50*",[1]SurveyDATA!JR$1:JR$1048576,"*NEED*",[1]SurveyDATA!KL$1:KL$1048576,"*SJDM*")</f>
        <v>0</v>
      </c>
      <c r="N56" s="221" t="e">
        <f aca="false">M56/$M$146</f>
        <v>#DIV/0!</v>
      </c>
      <c r="O56" s="244" t="n">
        <f aca="false">COUNTIFS([1]SurveyDATA!KX$1:KX$1048576,"Y",[1]SurveyDATA!KI$1:KI$1048576,"*RELOCATION*",[1]SurveyDATA!VX$1:VX$1048576,"*SAMPLING*",[1]SurveyDATA!E$1:E$1048576,"*BRGY.50*",[1]SurveyDATA!JR$1:JR$1048576,"*NEED*",[1]SurveyDATA!KL$1:KL$1048576,"UNDECIDED")</f>
        <v>0</v>
      </c>
      <c r="P56" s="245" t="n">
        <f aca="false">SUM(M56,K56,I56,G56,E56,C56)</f>
        <v>0</v>
      </c>
      <c r="Q56" s="221" t="e">
        <f aca="false">P56/$P$146</f>
        <v>#DIV/0!</v>
      </c>
    </row>
    <row r="57" customFormat="false" ht="15.75" hidden="false" customHeight="false" outlineLevel="0" collapsed="false">
      <c r="A57" s="174"/>
      <c r="B57" s="227" t="s">
        <v>113</v>
      </c>
      <c r="C57" s="82" t="n">
        <f aca="false">COUNTIFS([1]SurveyDATA!KX$1:KX$1048576,"Y",[1]SurveyDATA!KI$1:KI$1048576,"*RELOCATION*",[1]SurveyDATA!VX$1:VX$1048576,"*SAMPLING*",[1]SurveyDATA!E$1:E$1048576,"*BRGY.51*",[1]SurveyDATA!JR$1:JR$1048576,"*NEED*",[1]SurveyDATA!KL$1:KL$1048576,"*CAVITE*")</f>
        <v>0</v>
      </c>
      <c r="D57" s="242" t="e">
        <f aca="false">C57/$C$146</f>
        <v>#DIV/0!</v>
      </c>
      <c r="E57" s="249" t="n">
        <f aca="false">COUNTIFS([1]SurveyDATA!KX$1:KX$1048576,"Y",[1]SurveyDATA!KI$1:KI$1048576,"*RELOCATION*",[1]SurveyDATA!VX$1:VX$1048576,"*SAMPLING*",[1]SurveyDATA!E$1:E$1048576,"*BRGY.51*",[1]SurveyDATA!JR$1:JR$1048576,"*NEED*",[1]SurveyDATA!KL$1:KL$1048576,"*DISIPLINA*")</f>
        <v>0</v>
      </c>
      <c r="F57" s="242" t="e">
        <f aca="false">E57/$E$146</f>
        <v>#DIV/0!</v>
      </c>
      <c r="G57" s="25" t="n">
        <f aca="false">COUNTIFS([1]SurveyDATA!KX$1:KX$1048576,"Y",[1]SurveyDATA!KI$1:KI$1048576,"*RELOCATION*",[1]SurveyDATA!VX$1:VX$1048576,"*SAMPLING*",[1]SurveyDATA!E$1:E$1048576,"*BRGY.51*",[1]SurveyDATA!JR$1:JR$1048576,"*NEED*",[1]SurveyDATA!KL$1:KL$1048576,"*BOCAUE*")</f>
        <v>0</v>
      </c>
      <c r="H57" s="221" t="e">
        <f aca="false">G57/$G$146</f>
        <v>#DIV/0!</v>
      </c>
      <c r="I57" s="25" t="n">
        <f aca="false">COUNTIFS([1]SurveyDATA!KX$1:KX$1048576,"Y",[1]SurveyDATA!KI$1:KI$1048576,"*RELOCATION*",[1]SurveyDATA!VX$1:VX$1048576,"*SAMPLING*",[1]SurveyDATA!E$1:E$1048576,"*BRGY.51*",[1]SurveyDATA!JR$1:JR$1048576,"*NEED*",[1]SurveyDATA!KL$1:KL$1048576,"*GUIGUINTO*")</f>
        <v>0</v>
      </c>
      <c r="J57" s="221" t="e">
        <f aca="false">I57/$I$146</f>
        <v>#DIV/0!</v>
      </c>
      <c r="K57" s="25" t="n">
        <f aca="false">COUNTIFS([1]SurveyDATA!KX$1:KX$1048576,"Y",[1]SurveyDATA!KI$1:KI$1048576,"*RELOCATION*",[1]SurveyDATA!VX$1:VX$1048576,"*SAMPLING*",[1]SurveyDATA!E$1:E$1048576,"*BRGY.51*",[1]SurveyDATA!JR$1:JR$1048576,"*NEED*",[1]SurveyDATA!KL$1:KL$1048576,"*PANDI*")</f>
        <v>0</v>
      </c>
      <c r="L57" s="221" t="e">
        <f aca="false">K57/$K$146</f>
        <v>#DIV/0!</v>
      </c>
      <c r="M57" s="244" t="n">
        <f aca="false">COUNTIFS([1]SurveyDATA!KX$1:KX$1048576,"Y",[1]SurveyDATA!KI$1:KI$1048576,"*RELOCATION*",[1]SurveyDATA!VX$1:VX$1048576,"*SAMPLING*",[1]SurveyDATA!E$1:E$1048576,"*BRGY.51*",[1]SurveyDATA!JR$1:JR$1048576,"*NEED*",[1]SurveyDATA!KL$1:KL$1048576,"*SJDM*")</f>
        <v>0</v>
      </c>
      <c r="N57" s="221" t="e">
        <f aca="false">M57/$M$146</f>
        <v>#DIV/0!</v>
      </c>
      <c r="O57" s="244" t="n">
        <f aca="false">COUNTIFS([1]SurveyDATA!KX$1:KX$1048576,"Y",[1]SurveyDATA!KI$1:KI$1048576,"*RELOCATION*",[1]SurveyDATA!VX$1:VX$1048576,"*SAMPLING*",[1]SurveyDATA!E$1:E$1048576,"*BRGY.51*",[1]SurveyDATA!JR$1:JR$1048576,"*NEED*",[1]SurveyDATA!KL$1:KL$1048576,"UNDECIDED")</f>
        <v>0</v>
      </c>
      <c r="P57" s="245" t="n">
        <f aca="false">SUM(M57,K57,I57,G57,E57,C57)</f>
        <v>0</v>
      </c>
      <c r="Q57" s="221" t="e">
        <f aca="false">P57/$P$146</f>
        <v>#DIV/0!</v>
      </c>
    </row>
    <row r="58" customFormat="false" ht="15.75" hidden="false" customHeight="false" outlineLevel="0" collapsed="false">
      <c r="A58" s="174"/>
      <c r="B58" s="227" t="s">
        <v>114</v>
      </c>
      <c r="C58" s="82" t="n">
        <f aca="false">COUNTIFS([1]SurveyDATA!KX$1:KX$1048576,"Y",[1]SurveyDATA!KI$1:KI$1048576,"*RELOCATION*",[1]SurveyDATA!VX$1:VX$1048576,"*SAMPLING*",[1]SurveyDATA!E$1:E$1048576,"*BRGY.48*",[1]SurveyDATA!JR$1:JR$1048576,"*NEED*",[1]SurveyDATA!KL$1:KL$1048576,"*CAVITE*")</f>
        <v>0</v>
      </c>
      <c r="D58" s="242" t="e">
        <f aca="false">C58/$C$146</f>
        <v>#DIV/0!</v>
      </c>
      <c r="E58" s="249" t="n">
        <f aca="false">COUNTIFS([1]SurveyDATA!KX$1:KX$1048576,"Y",[1]SurveyDATA!KI$1:KI$1048576,"*RELOCATION*",[1]SurveyDATA!VX$1:VX$1048576,"*SAMPLING*",[1]SurveyDATA!E$1:E$1048576,"*BRGY.48*",[1]SurveyDATA!JR$1:JR$1048576,"*NEED*",[1]SurveyDATA!KL$1:KL$1048576,"*DISIPLINA*")</f>
        <v>0</v>
      </c>
      <c r="F58" s="242" t="e">
        <f aca="false">E58/$E$146</f>
        <v>#DIV/0!</v>
      </c>
      <c r="G58" s="25" t="n">
        <f aca="false">COUNTIFS([1]SurveyDATA!KX$1:KX$1048576,"Y",[1]SurveyDATA!KI$1:KI$1048576,"*RELOCATION*",[1]SurveyDATA!VX$1:VX$1048576,"*SAMPLING*",[1]SurveyDATA!E$1:E$1048576,"*BRGY.48*",[1]SurveyDATA!JR$1:JR$1048576,"*NEED*",[1]SurveyDATA!KL$1:KL$1048576,"*BOCAUE*")</f>
        <v>0</v>
      </c>
      <c r="H58" s="221" t="e">
        <f aca="false">G58/$G$146</f>
        <v>#DIV/0!</v>
      </c>
      <c r="I58" s="25" t="n">
        <f aca="false">COUNTIFS([1]SurveyDATA!KX$1:KX$1048576,"Y",[1]SurveyDATA!KI$1:KI$1048576,"*RELOCATION*",[1]SurveyDATA!VX$1:VX$1048576,"*SAMPLING*",[1]SurveyDATA!E$1:E$1048576,"*BRGY.48*",[1]SurveyDATA!JR$1:JR$1048576,"*NEED*",[1]SurveyDATA!KL$1:KL$1048576,"*GUIGUINTO*")</f>
        <v>0</v>
      </c>
      <c r="J58" s="221" t="e">
        <f aca="false">I58/$I$146</f>
        <v>#DIV/0!</v>
      </c>
      <c r="K58" s="25" t="n">
        <f aca="false">COUNTIFS([1]SurveyDATA!KX$1:KX$1048576,"Y",[1]SurveyDATA!KI$1:KI$1048576,"*RELOCATION*",[1]SurveyDATA!VX$1:VX$1048576,"*SAMPLING*",[1]SurveyDATA!E$1:E$1048576,"*BRGY.48*",[1]SurveyDATA!JR$1:JR$1048576,"*NEED*",[1]SurveyDATA!KL$1:KL$1048576,"*PANDI*")</f>
        <v>0</v>
      </c>
      <c r="L58" s="221" t="e">
        <f aca="false">K58/$K$146</f>
        <v>#DIV/0!</v>
      </c>
      <c r="M58" s="244" t="n">
        <f aca="false">COUNTIFS([1]SurveyDATA!KX$1:KX$1048576,"Y",[1]SurveyDATA!KI$1:KI$1048576,"*RELOCATION*",[1]SurveyDATA!VX$1:VX$1048576,"*SAMPLING*",[1]SurveyDATA!E$1:E$1048576,"*BRGY.48*",[1]SurveyDATA!JR$1:JR$1048576,"*NEED*",[1]SurveyDATA!KL$1:KL$1048576,"*SJDM*")</f>
        <v>0</v>
      </c>
      <c r="N58" s="221" t="e">
        <f aca="false">M58/$M$146</f>
        <v>#DIV/0!</v>
      </c>
      <c r="O58" s="244" t="n">
        <f aca="false">COUNTIFS([1]SurveyDATA!KX$1:KX$1048576,"Y",[1]SurveyDATA!KI$1:KI$1048576,"*RELOCATION*",[1]SurveyDATA!VX$1:VX$1048576,"*SAMPLING*",[1]SurveyDATA!E$1:E$1048576,"*BRGY.48*",[1]SurveyDATA!JR$1:JR$1048576,"*NEED*",[1]SurveyDATA!KL$1:KL$1048576,"UNDECIDED")</f>
        <v>0</v>
      </c>
      <c r="P58" s="245" t="n">
        <f aca="false">SUM(M58,K58,I58,G58,E58,C58)</f>
        <v>0</v>
      </c>
      <c r="Q58" s="221" t="e">
        <f aca="false">P58/$P$146</f>
        <v>#DIV/0!</v>
      </c>
    </row>
    <row r="59" customFormat="false" ht="15.75" hidden="false" customHeight="false" outlineLevel="0" collapsed="false">
      <c r="A59" s="174"/>
      <c r="B59" s="227" t="s">
        <v>115</v>
      </c>
      <c r="C59" s="82" t="n">
        <f aca="false">COUNTIFS([1]SurveyDATA!KX$1:KX$1048576,"Y",[1]SurveyDATA!KI$1:KI$1048576,"*RELOCATION*",[1]SurveyDATA!VX$1:VX$1048576,"*SAMPLING*",[1]SurveyDATA!E$1:E$1048576,"*BRGY.199*",[1]SurveyDATA!JR$1:JR$1048576,"*NEED*",[1]SurveyDATA!KL$1:KL$1048576,"*CAVITE*")</f>
        <v>0</v>
      </c>
      <c r="D59" s="242" t="e">
        <f aca="false">C59/$C$146</f>
        <v>#DIV/0!</v>
      </c>
      <c r="E59" s="249" t="n">
        <f aca="false">COUNTIFS([1]SurveyDATA!KX$1:KX$1048576,"Y",[1]SurveyDATA!KI$1:KI$1048576,"*RELOCATION*",[1]SurveyDATA!VX$1:VX$1048576,"*SAMPLING*",[1]SurveyDATA!E$1:E$1048576,"*BRGY.199*",[1]SurveyDATA!JR$1:JR$1048576,"*NEED*",[1]SurveyDATA!KL$1:KL$1048576,"*DISIPLINA*")</f>
        <v>0</v>
      </c>
      <c r="F59" s="242" t="e">
        <f aca="false">E59/$E$146</f>
        <v>#DIV/0!</v>
      </c>
      <c r="G59" s="25" t="n">
        <f aca="false">COUNTIFS([1]SurveyDATA!KX$1:KX$1048576,"Y",[1]SurveyDATA!KI$1:KI$1048576,"*RELOCATION*",[1]SurveyDATA!VX$1:VX$1048576,"*SAMPLING*",[1]SurveyDATA!E$1:E$1048576,"*BRGY.199*",[1]SurveyDATA!JR$1:JR$1048576,"*NEED*",[1]SurveyDATA!KL$1:KL$1048576,"*BOCAUE*")</f>
        <v>0</v>
      </c>
      <c r="H59" s="221" t="e">
        <f aca="false">G59/$G$146</f>
        <v>#DIV/0!</v>
      </c>
      <c r="I59" s="25" t="n">
        <f aca="false">COUNTIFS([1]SurveyDATA!KX$1:KX$1048576,"Y",[1]SurveyDATA!KI$1:KI$1048576,"*RELOCATION*",[1]SurveyDATA!VX$1:VX$1048576,"*SAMPLING*",[1]SurveyDATA!E$1:E$1048576,"*BRGY.199*",[1]SurveyDATA!JR$1:JR$1048576,"*NEED*",[1]SurveyDATA!KL$1:KL$1048576,"*GUIGUINTO*")</f>
        <v>0</v>
      </c>
      <c r="J59" s="221" t="e">
        <f aca="false">I59/$I$146</f>
        <v>#DIV/0!</v>
      </c>
      <c r="K59" s="25" t="n">
        <f aca="false">COUNTIFS([1]SurveyDATA!KX$1:KX$1048576,"Y",[1]SurveyDATA!KI$1:KI$1048576,"*RELOCATION*",[1]SurveyDATA!VX$1:VX$1048576,"*SAMPLING*",[1]SurveyDATA!E$1:E$1048576,"*BRGY.199*",[1]SurveyDATA!JR$1:JR$1048576,"*NEED*",[1]SurveyDATA!KL$1:KL$1048576,"*PANDI*")</f>
        <v>0</v>
      </c>
      <c r="L59" s="221" t="e">
        <f aca="false">K59/$K$146</f>
        <v>#DIV/0!</v>
      </c>
      <c r="M59" s="244" t="n">
        <f aca="false">COUNTIFS([1]SurveyDATA!KX$1:KX$1048576,"Y",[1]SurveyDATA!KI$1:KI$1048576,"*RELOCATION*",[1]SurveyDATA!VX$1:VX$1048576,"*SAMPLING*",[1]SurveyDATA!E$1:E$1048576,"*BRGY.199*",[1]SurveyDATA!JR$1:JR$1048576,"*NEED*",[1]SurveyDATA!KL$1:KL$1048576,"*SJDM*")</f>
        <v>0</v>
      </c>
      <c r="N59" s="221" t="e">
        <f aca="false">M59/$M$146</f>
        <v>#DIV/0!</v>
      </c>
      <c r="O59" s="244" t="n">
        <f aca="false">COUNTIFS([1]SurveyDATA!KX$1:KX$1048576,"Y",[1]SurveyDATA!KI$1:KI$1048576,"*RELOCATION*",[1]SurveyDATA!VX$1:VX$1048576,"*SAMPLING*",[1]SurveyDATA!E$1:E$1048576,"*BRGY.199*",[1]SurveyDATA!JR$1:JR$1048576,"*NEED*",[1]SurveyDATA!KL$1:KL$1048576,"UNDECIDED")</f>
        <v>0</v>
      </c>
      <c r="P59" s="245" t="n">
        <f aca="false">SUM(M59,K59,I59,G59,E59,C59)</f>
        <v>0</v>
      </c>
      <c r="Q59" s="221" t="e">
        <f aca="false">P59/$P$146</f>
        <v>#DIV/0!</v>
      </c>
    </row>
    <row r="60" customFormat="false" ht="15.75" hidden="false" customHeight="false" outlineLevel="0" collapsed="false">
      <c r="A60" s="174"/>
      <c r="B60" s="227" t="s">
        <v>116</v>
      </c>
      <c r="C60" s="82" t="n">
        <f aca="false">COUNTIFS([1]SurveyDATA!KX$1:KX$1048576,"Y",[1]SurveyDATA!KI$1:KI$1048576,"*RELOCATION*",[1]SurveyDATA!VX$1:VX$1048576,"*SAMPLING*",[1]SurveyDATA!E$1:E$1048576,"*BRGY.200*",[1]SurveyDATA!JR$1:JR$1048576,"*NEED*",[1]SurveyDATA!KL$1:KL$1048576,"*CAVITE*")</f>
        <v>0</v>
      </c>
      <c r="D60" s="242" t="e">
        <f aca="false">C60/$C$146</f>
        <v>#DIV/0!</v>
      </c>
      <c r="E60" s="249" t="n">
        <f aca="false">COUNTIFS([1]SurveyDATA!KX$1:KX$1048576,"Y",[1]SurveyDATA!KI$1:KI$1048576,"*RELOCATION*",[1]SurveyDATA!VX$1:VX$1048576,"*SAMPLING*",[1]SurveyDATA!E$1:E$1048576,"*BRGY.200*",[1]SurveyDATA!JR$1:JR$1048576,"*NEED*",[1]SurveyDATA!KL$1:KL$1048576,"*DISIPLINA*")</f>
        <v>0</v>
      </c>
      <c r="F60" s="242" t="e">
        <f aca="false">E60/$E$146</f>
        <v>#DIV/0!</v>
      </c>
      <c r="G60" s="25" t="n">
        <f aca="false">COUNTIFS([1]SurveyDATA!KX$1:KX$1048576,"Y",[1]SurveyDATA!KI$1:KI$1048576,"*RELOCATION*",[1]SurveyDATA!VX$1:VX$1048576,"*SAMPLING*",[1]SurveyDATA!E$1:E$1048576,"*BRGY.200*",[1]SurveyDATA!JR$1:JR$1048576,"*NEED*",[1]SurveyDATA!KL$1:KL$1048576,"*BOCAUE*")</f>
        <v>0</v>
      </c>
      <c r="H60" s="221" t="e">
        <f aca="false">G60/$G$146</f>
        <v>#DIV/0!</v>
      </c>
      <c r="I60" s="25" t="n">
        <f aca="false">COUNTIFS([1]SurveyDATA!KX$1:KX$1048576,"Y",[1]SurveyDATA!KI$1:KI$1048576,"*RELOCATION*",[1]SurveyDATA!VX$1:VX$1048576,"*SAMPLING*",[1]SurveyDATA!E$1:E$1048576,"*BRGY.200*",[1]SurveyDATA!JR$1:JR$1048576,"*NEED*",[1]SurveyDATA!KL$1:KL$1048576,"*GUIGUINTO*")</f>
        <v>0</v>
      </c>
      <c r="J60" s="221" t="e">
        <f aca="false">I60/$I$146</f>
        <v>#DIV/0!</v>
      </c>
      <c r="K60" s="25" t="n">
        <f aca="false">COUNTIFS([1]SurveyDATA!KX$1:KX$1048576,"Y",[1]SurveyDATA!KI$1:KI$1048576,"*RELOCATION*",[1]SurveyDATA!VX$1:VX$1048576,"*SAMPLING*",[1]SurveyDATA!E$1:E$1048576,"*BRGY.200*",[1]SurveyDATA!JR$1:JR$1048576,"*NEED*",[1]SurveyDATA!KL$1:KL$1048576,"*PANDI*")</f>
        <v>0</v>
      </c>
      <c r="L60" s="221" t="e">
        <f aca="false">K60/$K$146</f>
        <v>#DIV/0!</v>
      </c>
      <c r="M60" s="244" t="n">
        <f aca="false">COUNTIFS([1]SurveyDATA!KX$1:KX$1048576,"Y",[1]SurveyDATA!KI$1:KI$1048576,"*RELOCATION*",[1]SurveyDATA!VX$1:VX$1048576,"*SAMPLING*",[1]SurveyDATA!E$1:E$1048576,"*BRGY.200*",[1]SurveyDATA!JR$1:JR$1048576,"*NEED*",[1]SurveyDATA!KL$1:KL$1048576,"*SJDM*")</f>
        <v>0</v>
      </c>
      <c r="N60" s="221" t="e">
        <f aca="false">M60/$M$146</f>
        <v>#DIV/0!</v>
      </c>
      <c r="O60" s="244" t="n">
        <f aca="false">COUNTIFS([1]SurveyDATA!KX$1:KX$1048576,"Y",[1]SurveyDATA!KI$1:KI$1048576,"*RELOCATION*",[1]SurveyDATA!VX$1:VX$1048576,"*SAMPLING*",[1]SurveyDATA!E$1:E$1048576,"*BRGY.200*",[1]SurveyDATA!JR$1:JR$1048576,"*NEED*",[1]SurveyDATA!KL$1:KL$1048576,"UNDECIDED")</f>
        <v>0</v>
      </c>
      <c r="P60" s="245" t="n">
        <f aca="false">SUM(M60,K60,I60,G60,E60,C60)</f>
        <v>0</v>
      </c>
      <c r="Q60" s="221" t="e">
        <f aca="false">P60/$P$146</f>
        <v>#DIV/0!</v>
      </c>
    </row>
    <row r="61" customFormat="false" ht="15.75" hidden="false" customHeight="false" outlineLevel="0" collapsed="false">
      <c r="A61" s="168"/>
      <c r="B61" s="237" t="s">
        <v>22</v>
      </c>
      <c r="C61" s="27" t="n">
        <f aca="false">COUNTIFS([1]SurveyDATA!KX$1:KX$1048576,"Y",[1]SurveyDATA!KI$1:KI$1048576,"*RELOCATION*",[1]SurveyDATA!VX$1:VX$1048576,"*SAMPLING*",[1]SurveyDATA!E$1:E$1048576,"*MANILA*",[1]SurveyDATA!JR$1:JR$1048576,"*NEED*",[1]SurveyDATA!KL$1:KL$1048576,"*CAVITE*")</f>
        <v>0</v>
      </c>
      <c r="D61" s="224" t="e">
        <f aca="false">C61/$P$146</f>
        <v>#DIV/0!</v>
      </c>
      <c r="E61" s="248" t="n">
        <f aca="false">COUNTIFS([1]SurveyDATA!KX$1:KX$1048576,"Y",[1]SurveyDATA!KI$1:KI$1048576,"*RELOCATION*",[1]SurveyDATA!VX$1:VX$1048576,"*SAMPLING*",[1]SurveyDATA!E$1:E$1048576,"*MANILA*",[1]SurveyDATA!JR$1:JR$1048576,"*NEED*",[1]SurveyDATA!KL$1:KL$1048576,"*DISIPLINA*")</f>
        <v>0</v>
      </c>
      <c r="F61" s="224" t="e">
        <f aca="false">E61/$P$146</f>
        <v>#DIV/0!</v>
      </c>
      <c r="G61" s="27" t="n">
        <f aca="false">COUNTIFS([1]SurveyDATA!KX$1:KX$1048576,"Y",[1]SurveyDATA!KI$1:KI$1048576,"*RELOCATION*",[1]SurveyDATA!VX$1:VX$1048576,"*SAMPLING*",[1]SurveyDATA!E$1:E$1048576,"*MANILA*",[1]SurveyDATA!JR$1:JR$1048576,"*NEED*",[1]SurveyDATA!KL$1:KL$1048576,"*BOCAUE*")</f>
        <v>0</v>
      </c>
      <c r="H61" s="224" t="e">
        <f aca="false">G61/$P$146</f>
        <v>#DIV/0!</v>
      </c>
      <c r="I61" s="27" t="n">
        <f aca="false">COUNTIFS([1]SurveyDATA!KX$1:KX$1048576,"Y",[1]SurveyDATA!KI$1:KI$1048576,"*RELOCATION*",[1]SurveyDATA!VX$1:VX$1048576,"*SAMPLING*",[1]SurveyDATA!E$1:E$1048576,"*MANILA*",[1]SurveyDATA!JR$1:JR$1048576,"*NEED*",[1]SurveyDATA!KL$1:KL$1048576,"*GUIGUINTO*")</f>
        <v>0</v>
      </c>
      <c r="J61" s="224" t="e">
        <f aca="false">I61/$P$146</f>
        <v>#DIV/0!</v>
      </c>
      <c r="K61" s="27" t="n">
        <f aca="false">COUNTIFS([1]SurveyDATA!KX$1:KX$1048576,"Y",[1]SurveyDATA!KI$1:KI$1048576,"*RELOCATION*",[1]SurveyDATA!VX$1:VX$1048576,"*SAMPLING*",[1]SurveyDATA!E$1:E$1048576,"*MANILA*",[1]SurveyDATA!JR$1:JR$1048576,"*NEED*",[1]SurveyDATA!KL$1:KL$1048576,"*PANDI*")</f>
        <v>0</v>
      </c>
      <c r="L61" s="224" t="e">
        <f aca="false">K61/$P$146</f>
        <v>#DIV/0!</v>
      </c>
      <c r="M61" s="247" t="n">
        <f aca="false">COUNTIFS([1]SurveyDATA!KX$1:KX$1048576,"Y",[1]SurveyDATA!KI$1:KI$1048576,"*RELOCATION*",[1]SurveyDATA!VX$1:VX$1048576,"*SAMPLING*",[1]SurveyDATA!E$1:E$1048576,"*MANILA*",[1]SurveyDATA!JR$1:JR$1048576,"*NEED*",[1]SurveyDATA!KL$1:KL$1048576,"*SJDM*")</f>
        <v>0</v>
      </c>
      <c r="N61" s="224" t="e">
        <f aca="false">M61/$P$146</f>
        <v>#DIV/0!</v>
      </c>
      <c r="O61" s="247" t="n">
        <f aca="false">COUNTIFS([1]SurveyDATA!KX$1:KX$1048576,"Y",[1]SurveyDATA!KI$1:KI$1048576,"*RELOCATION*",[1]SurveyDATA!VX$1:VX$1048576,"*SAMPLING*",[1]SurveyDATA!E$1:E$1048576,"*MANILA*",[1]SurveyDATA!JR$1:JR$1048576,"*NEED*",[1]SurveyDATA!KL$1:KL$1048576,"")</f>
        <v>0</v>
      </c>
      <c r="P61" s="248" t="n">
        <f aca="false">SUM(O61,M61,K61,I61,G61,E61,C61)</f>
        <v>0</v>
      </c>
      <c r="Q61" s="250" t="e">
        <f aca="false">P61/P62</f>
        <v>#DIV/0!</v>
      </c>
    </row>
    <row r="62" customFormat="false" ht="15.75" hidden="false" customHeight="false" outlineLevel="0" collapsed="false">
      <c r="A62" s="238"/>
      <c r="B62" s="238" t="s">
        <v>74</v>
      </c>
      <c r="C62" s="229" t="n">
        <f aca="false">SUM(C61,C44,C34,C30,C25,C21,C17,C15,C10)</f>
        <v>0</v>
      </c>
      <c r="D62" s="225" t="e">
        <f aca="false">C62/$P$147</f>
        <v>#DIV/0!</v>
      </c>
      <c r="E62" s="229" t="n">
        <f aca="false">SUM(E61,E44,E34,E30,E25,E21,E17,E15,E10)</f>
        <v>0</v>
      </c>
      <c r="F62" s="225" t="e">
        <f aca="false">E62/$P$147</f>
        <v>#DIV/0!</v>
      </c>
      <c r="G62" s="229" t="n">
        <f aca="false">SUM(G61,G44,G34,G30,G25,G21,G17,G15,G10)</f>
        <v>0</v>
      </c>
      <c r="H62" s="225" t="e">
        <f aca="false">G62/$P$147</f>
        <v>#DIV/0!</v>
      </c>
      <c r="I62" s="229" t="n">
        <f aca="false">SUM(I61,I44,I34,I30,I25,I21,I17,I15,I10)</f>
        <v>0</v>
      </c>
      <c r="J62" s="225" t="e">
        <f aca="false">I62/$P$147</f>
        <v>#DIV/0!</v>
      </c>
      <c r="K62" s="229" t="n">
        <f aca="false">SUM(K61,K44,K34,K30,K25,K21,K17,K15,K10)</f>
        <v>0</v>
      </c>
      <c r="L62" s="225" t="e">
        <f aca="false">K62/$P$147</f>
        <v>#DIV/0!</v>
      </c>
      <c r="M62" s="229" t="n">
        <f aca="false">SUM(M61,M44,M34,M30,M25,M21,M17,M15,M10)</f>
        <v>0</v>
      </c>
      <c r="N62" s="225" t="e">
        <f aca="false">M62/$P$147</f>
        <v>#DIV/0!</v>
      </c>
      <c r="O62" s="229" t="n">
        <f aca="false">SUM(O61,O44,O34,O30,O25,O21,O17,O15,O10)</f>
        <v>0</v>
      </c>
      <c r="P62" s="229" t="n">
        <f aca="false">SUM(P61,P44,P34,P30,P25,P21,P17,P15,P10)</f>
        <v>0</v>
      </c>
      <c r="Q62" s="165" t="e">
        <f aca="false">SUM(N62,L62,J62,H62,F62,D62)</f>
        <v>#DIV/0!</v>
      </c>
    </row>
  </sheetData>
  <mergeCells count="8">
    <mergeCell ref="C2:N2"/>
    <mergeCell ref="C3:D4"/>
    <mergeCell ref="E3:F4"/>
    <mergeCell ref="G3:H4"/>
    <mergeCell ref="I3:J4"/>
    <mergeCell ref="K3:L4"/>
    <mergeCell ref="M3:N4"/>
    <mergeCell ref="P3:Q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8" activeCellId="0" sqref="L18"/>
    </sheetView>
  </sheetViews>
  <sheetFormatPr defaultRowHeight="15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226" t="s">
        <v>465</v>
      </c>
      <c r="B1" s="226"/>
    </row>
    <row r="2" customFormat="false" ht="15" hidden="false" customHeight="false" outlineLevel="0" collapsed="false">
      <c r="A2" s="226" t="s">
        <v>1</v>
      </c>
      <c r="B2" s="226" t="s">
        <v>466</v>
      </c>
      <c r="C2" s="0" t="s">
        <v>467</v>
      </c>
      <c r="D2" s="0" t="s">
        <v>468</v>
      </c>
      <c r="E2" s="0" t="s">
        <v>469</v>
      </c>
      <c r="F2" s="0" t="s">
        <v>470</v>
      </c>
      <c r="G2" s="0" t="s">
        <v>471</v>
      </c>
      <c r="H2" s="0" t="s">
        <v>472</v>
      </c>
    </row>
    <row r="3" customFormat="false" ht="25.5" hidden="false" customHeight="false" outlineLevel="0" collapsed="false">
      <c r="A3" s="251"/>
      <c r="B3" s="251" t="s">
        <v>473</v>
      </c>
      <c r="C3" s="251" t="s">
        <v>473</v>
      </c>
      <c r="D3" s="251" t="s">
        <v>474</v>
      </c>
      <c r="E3" s="251" t="s">
        <v>475</v>
      </c>
      <c r="F3" s="251" t="s">
        <v>474</v>
      </c>
      <c r="G3" s="251" t="s">
        <v>476</v>
      </c>
      <c r="H3" s="251"/>
      <c r="I3" s="252"/>
    </row>
    <row r="4" customFormat="false" ht="25.5" hidden="false" customHeight="false" outlineLevel="0" collapsed="false">
      <c r="A4" s="253"/>
      <c r="B4" s="254" t="s">
        <v>477</v>
      </c>
      <c r="C4" s="253" t="s">
        <v>478</v>
      </c>
      <c r="D4" s="253" t="s">
        <v>479</v>
      </c>
      <c r="E4" s="253" t="s">
        <v>480</v>
      </c>
      <c r="F4" s="253" t="s">
        <v>481</v>
      </c>
      <c r="G4" s="253" t="s">
        <v>482</v>
      </c>
      <c r="H4" s="251" t="s">
        <v>483</v>
      </c>
      <c r="I4" s="255"/>
    </row>
    <row r="5" customFormat="false" ht="25.5" hidden="false" customHeight="false" outlineLevel="0" collapsed="false">
      <c r="A5" s="253" t="s">
        <v>2</v>
      </c>
      <c r="B5" s="254" t="s">
        <v>484</v>
      </c>
      <c r="C5" s="253" t="s">
        <v>485</v>
      </c>
      <c r="D5" s="253" t="s">
        <v>486</v>
      </c>
      <c r="E5" s="253" t="s">
        <v>487</v>
      </c>
      <c r="F5" s="253" t="s">
        <v>488</v>
      </c>
      <c r="G5" s="253" t="s">
        <v>489</v>
      </c>
      <c r="H5" s="253" t="s">
        <v>490</v>
      </c>
      <c r="I5" s="255" t="s">
        <v>80</v>
      </c>
    </row>
    <row r="6" customFormat="false" ht="15" hidden="false" customHeight="false" outlineLevel="0" collapsed="false">
      <c r="A6" s="256"/>
      <c r="B6" s="256"/>
      <c r="C6" s="256" t="s">
        <v>491</v>
      </c>
      <c r="D6" s="256" t="s">
        <v>492</v>
      </c>
      <c r="E6" s="256"/>
      <c r="F6" s="256" t="s">
        <v>493</v>
      </c>
      <c r="G6" s="256"/>
      <c r="H6" s="256"/>
      <c r="I6" s="257"/>
    </row>
    <row r="7" customFormat="false" ht="15" hidden="false" customHeight="false" outlineLevel="0" collapsed="false">
      <c r="A7" s="82" t="s">
        <v>81</v>
      </c>
      <c r="B7" s="82" t="n">
        <f aca="false">COUNTIFS([1]SurveyDATA!$VX$1:$VX$1048576,"*SAMPLING*",[1]SurveyDATA!$VW$1:$VW$1048576,"*ISF*",[1]SurveyDATA!$KI$1:$KI$1048576,"*RELOC*",[1]SurveyDATA!$E$1:$E$1048576,"*MALOLOS*",[1]SurveyDATA!$JR$1:$JR$1048576,"*NEED*",[1]SurveyDATA!KQ$1:KQ$1048576,"x")</f>
        <v>0</v>
      </c>
      <c r="C7" s="82" t="n">
        <f aca="false">COUNTIFS([1]SurveyDATA!$VX$1:$VX$1048576,"*SAMPLING*",[1]SurveyDATA!$VW$1:$VW$1048576,"*ISF*",[1]SurveyDATA!$KI$1:$KI$1048576,"*RELOC*",[1]SurveyDATA!$E$1:$E$1048576,"*MALOLOS*",[1]SurveyDATA!$JR$1:$JR$1048576,"*NEED*",[1]SurveyDATA!KR$1:KR$1048576,"x")</f>
        <v>0</v>
      </c>
      <c r="D7" s="82" t="n">
        <f aca="false">COUNTIFS([1]SurveyDATA!$VX$1:$VX$1048576,"*SAMPLING*",[1]SurveyDATA!$VW$1:$VW$1048576,"*ISF*",[1]SurveyDATA!$KI$1:$KI$1048576,"*RELOC*",[1]SurveyDATA!$E$1:$E$1048576,"*MALOLOS*",[1]SurveyDATA!$JR$1:$JR$1048576,"*NEED*",[1]SurveyDATA!KS$1:KS$1048576,"x")</f>
        <v>0</v>
      </c>
      <c r="E7" s="82" t="n">
        <f aca="false">COUNTIFS([1]SurveyDATA!$VX$1:$VX$1048576,"*SAMPLING*",[1]SurveyDATA!$VW$1:$VW$1048576,"*ISF*",[1]SurveyDATA!$KI$1:$KI$1048576,"*RELOC*",[1]SurveyDATA!$E$1:$E$1048576,"*MALOLOS*",[1]SurveyDATA!$JR$1:$JR$1048576,"*NEED*",[1]SurveyDATA!KT$1:KT$1048576,"x")</f>
        <v>0</v>
      </c>
      <c r="F7" s="82" t="n">
        <f aca="false">COUNTIFS([1]SurveyDATA!$VX$1:$VX$1048576,"*SAMPLING*",[1]SurveyDATA!$VW$1:$VW$1048576,"*ISF*",[1]SurveyDATA!$KI$1:$KI$1048576,"*RELOC*",[1]SurveyDATA!$E$1:$E$1048576,"*MALOLOS*",[1]SurveyDATA!$JR$1:$JR$1048576,"*NEED*",[1]SurveyDATA!KU$1:KU$1048576,"x")</f>
        <v>0</v>
      </c>
      <c r="G7" s="82" t="n">
        <f aca="false">COUNTIFS([1]SurveyDATA!$VX$1:$VX$1048576,"*SAMPLING*",[1]SurveyDATA!$VW$1:$VW$1048576,"*ISF*",[1]SurveyDATA!$KI$1:$KI$1048576,"*RELOC*",[1]SurveyDATA!$E$1:$E$1048576,"*MALOLOS*",[1]SurveyDATA!$JR$1:$JR$1048576,"*NEED*",[1]SurveyDATA!KV$1:KV$1048576,"x")</f>
        <v>0</v>
      </c>
      <c r="H7" s="82" t="n">
        <f aca="false">COUNTIFS([1]SurveyDATA!$VX$1:$VX$1048576,"*SAMPLING*",[1]SurveyDATA!$VW$1:$VW$1048576,"*ISF*",[1]SurveyDATA!$KI$1:$KI$1048576,"*RELOC*",[1]SurveyDATA!$E$1:$E$1048576,"*MALOLOS*",[1]SurveyDATA!$JR$1:$JR$1048576,"*NEED*",[1]SurveyDATA!KW$1:KW$1048576,"*")</f>
        <v>0</v>
      </c>
      <c r="I7" s="82" t="n">
        <f aca="false">SUM(B7:H7)</f>
        <v>0</v>
      </c>
    </row>
    <row r="8" customFormat="false" ht="15" hidden="false" customHeight="false" outlineLevel="0" collapsed="false">
      <c r="A8" s="25" t="s">
        <v>82</v>
      </c>
      <c r="B8" s="82" t="n">
        <f aca="false">COUNTIFS([1]SurveyDATA!$VX$1:$VX$1048576,"*SAMPLING*",[1]SurveyDATA!$VW$1:$VW$1048576,"*ISF*",[1]SurveyDATA!$KI$1:$KI$1048576,"*RELOC*",[1]SurveyDATA!$E$1:$E$1048576,"*GUIGUINTO*",[1]SurveyDATA!$JR$1:$JR$1048576,"*NEED*",[1]SurveyDATA!KQ$1:KQ$1048576,"x")</f>
        <v>0</v>
      </c>
      <c r="C8" s="82" t="n">
        <f aca="false">COUNTIFS([1]SurveyDATA!$VX$1:$VX$1048576,"*SAMPLING*",[1]SurveyDATA!$VW$1:$VW$1048576,"*ISF*",[1]SurveyDATA!$KI$1:$KI$1048576,"*RELOC*",[1]SurveyDATA!$E$1:$E$1048576,"*GUIGUINTO*",[1]SurveyDATA!$JR$1:$JR$1048576,"*NEED*",[1]SurveyDATA!KR$1:KR$1048576,"x")</f>
        <v>0</v>
      </c>
      <c r="D8" s="82" t="n">
        <f aca="false">COUNTIFS([1]SurveyDATA!$VX$1:$VX$1048576,"*SAMPLING*",[1]SurveyDATA!$VW$1:$VW$1048576,"*ISF*",[1]SurveyDATA!$KI$1:$KI$1048576,"*RELOC*",[1]SurveyDATA!$E$1:$E$1048576,"*GUIGUINTO*",[1]SurveyDATA!$JR$1:$JR$1048576,"*NEED*",[1]SurveyDATA!KS$1:KS$1048576,"x")</f>
        <v>0</v>
      </c>
      <c r="E8" s="82" t="n">
        <f aca="false">COUNTIFS([1]SurveyDATA!$VX$1:$VX$1048576,"*SAMPLING*",[1]SurveyDATA!$VW$1:$VW$1048576,"*ISF*",[1]SurveyDATA!$KI$1:$KI$1048576,"*RELOC*",[1]SurveyDATA!$E$1:$E$1048576,"*GUIGUINTO*",[1]SurveyDATA!$JR$1:$JR$1048576,"*NEED*",[1]SurveyDATA!KT$1:KT$1048576,"x")</f>
        <v>0</v>
      </c>
      <c r="F8" s="82" t="n">
        <f aca="false">COUNTIFS([1]SurveyDATA!$VX$1:$VX$1048576,"*SAMPLING*",[1]SurveyDATA!$VW$1:$VW$1048576,"*ISF*",[1]SurveyDATA!$KI$1:$KI$1048576,"*RELOC*",[1]SurveyDATA!$E$1:$E$1048576,"*GUIGUINTO*",[1]SurveyDATA!$JR$1:$JR$1048576,"*NEED*",[1]SurveyDATA!KU$1:KU$1048576,"x")</f>
        <v>0</v>
      </c>
      <c r="G8" s="82" t="n">
        <f aca="false">COUNTIFS([1]SurveyDATA!$VX$1:$VX$1048576,"*SAMPLING*",[1]SurveyDATA!$VW$1:$VW$1048576,"*ISF*",[1]SurveyDATA!$KI$1:$KI$1048576,"*RELOC*",[1]SurveyDATA!$E$1:$E$1048576,"*GUIGUINTO*",[1]SurveyDATA!$JR$1:$JR$1048576,"*NEED*",[1]SurveyDATA!KV$1:KV$1048576,"x")</f>
        <v>0</v>
      </c>
      <c r="H8" s="82" t="n">
        <f aca="false">COUNTIFS([1]SurveyDATA!$VX$1:$VX$1048576,"*SAMPLING*",[1]SurveyDATA!$VW$1:$VW$1048576,"*ISF*",[1]SurveyDATA!$KI$1:$KI$1048576,"*RELOC*",[1]SurveyDATA!$E$1:$E$1048576,"*GUIGUINTO*",[1]SurveyDATA!$JR$1:$JR$1048576,"*NEED*",[1]SurveyDATA!KW$1:KW$1048576,"*")</f>
        <v>0</v>
      </c>
      <c r="I8" s="82" t="n">
        <f aca="false">SUM(B8:H8)</f>
        <v>0</v>
      </c>
    </row>
    <row r="9" customFormat="false" ht="15" hidden="false" customHeight="false" outlineLevel="0" collapsed="false">
      <c r="A9" s="25" t="s">
        <v>83</v>
      </c>
      <c r="B9" s="82" t="n">
        <f aca="false">COUNTIFS([1]SurveyDATA!$VX$1:$VX$1048576,"*SAMPLING*",[1]SurveyDATA!$VW$1:$VW$1048576,"*ISF*",[1]SurveyDATA!$KI$1:$KI$1048576,"*RELOC*",[1]SurveyDATA!$E$1:$E$1048576,"*BALAGTAS*",[1]SurveyDATA!$JR$1:$JR$1048576,"*NEED*",[1]SurveyDATA!KQ$1:KQ$1048576,"x")</f>
        <v>0</v>
      </c>
      <c r="C9" s="82" t="n">
        <f aca="false">COUNTIFS([1]SurveyDATA!$VX$1:$VX$1048576,"*SAMPLING*",[1]SurveyDATA!$VW$1:$VW$1048576,"*ISF*",[1]SurveyDATA!$KI$1:$KI$1048576,"*RELOC*",[1]SurveyDATA!$E$1:$E$1048576,"*BALAGTAS*",[1]SurveyDATA!$JR$1:$JR$1048576,"*NEED*",[1]SurveyDATA!KR$1:KR$1048576,"x")</f>
        <v>0</v>
      </c>
      <c r="D9" s="82" t="n">
        <f aca="false">COUNTIFS([1]SurveyDATA!$VX$1:$VX$1048576,"*SAMPLING*",[1]SurveyDATA!$VW$1:$VW$1048576,"*ISF*",[1]SurveyDATA!$KI$1:$KI$1048576,"*RELOC*",[1]SurveyDATA!$E$1:$E$1048576,"*BALAGTAS*",[1]SurveyDATA!$JR$1:$JR$1048576,"*NEED*",[1]SurveyDATA!KS$1:KS$1048576,"x")</f>
        <v>0</v>
      </c>
      <c r="E9" s="82" t="n">
        <f aca="false">COUNTIFS([1]SurveyDATA!$VX$1:$VX$1048576,"*SAMPLING*",[1]SurveyDATA!$VW$1:$VW$1048576,"*ISF*",[1]SurveyDATA!$KI$1:$KI$1048576,"*RELOC*",[1]SurveyDATA!$E$1:$E$1048576,"*BALAGTAS*",[1]SurveyDATA!$JR$1:$JR$1048576,"*NEED*",[1]SurveyDATA!KT$1:KT$1048576,"x")</f>
        <v>0</v>
      </c>
      <c r="F9" s="82" t="n">
        <f aca="false">COUNTIFS([1]SurveyDATA!$VX$1:$VX$1048576,"*SAMPLING*",[1]SurveyDATA!$VW$1:$VW$1048576,"*ISF*",[1]SurveyDATA!$KI$1:$KI$1048576,"*RELOC*",[1]SurveyDATA!$E$1:$E$1048576,"*BALAGTAS*",[1]SurveyDATA!$JR$1:$JR$1048576,"*NEED*",[1]SurveyDATA!KU$1:KU$1048576,"x")</f>
        <v>0</v>
      </c>
      <c r="G9" s="82" t="n">
        <f aca="false">COUNTIFS([1]SurveyDATA!$VX$1:$VX$1048576,"*SAMPLING*",[1]SurveyDATA!$VW$1:$VW$1048576,"*ISF*",[1]SurveyDATA!$KI$1:$KI$1048576,"*RELOC*",[1]SurveyDATA!$E$1:$E$1048576,"*BALAGTAS*",[1]SurveyDATA!$JR$1:$JR$1048576,"*NEED*",[1]SurveyDATA!KV$1:KV$1048576,"x")</f>
        <v>0</v>
      </c>
      <c r="H9" s="82" t="n">
        <f aca="false">COUNTIFS([1]SurveyDATA!$VX$1:$VX$1048576,"*SAMPLING*",[1]SurveyDATA!$VW$1:$VW$1048576,"*ISF*",[1]SurveyDATA!$KI$1:$KI$1048576,"*RELOC*",[1]SurveyDATA!$E$1:$E$1048576,"*BALAGTAS*",[1]SurveyDATA!$JR$1:$JR$1048576,"*NEED*",[1]SurveyDATA!KW$1:KW$1048576,"*")</f>
        <v>0</v>
      </c>
      <c r="I9" s="82" t="n">
        <f aca="false">SUM(B9:H9)</f>
        <v>0</v>
      </c>
    </row>
    <row r="10" customFormat="false" ht="15" hidden="false" customHeight="false" outlineLevel="0" collapsed="false">
      <c r="A10" s="25" t="s">
        <v>84</v>
      </c>
      <c r="B10" s="82" t="n">
        <f aca="false">COUNTIFS([1]SurveyDATA!$VX$1:$VX$1048576,"*SAMPLING*",[1]SurveyDATA!$VW$1:$VW$1048576,"*ISF*",[1]SurveyDATA!$KI$1:$KI$1048576,"*RELOC*",[1]SurveyDATA!$E$1:$E$1048576,"*BOCAUE*",[1]SurveyDATA!$JR$1:$JR$1048576,"*NEED*",[1]SurveyDATA!KQ$1:KQ$1048576,"x")</f>
        <v>0</v>
      </c>
      <c r="C10" s="82" t="n">
        <f aca="false">COUNTIFS([1]SurveyDATA!$VX$1:$VX$1048576,"*SAMPLING*",[1]SurveyDATA!$VW$1:$VW$1048576,"*ISF*",[1]SurveyDATA!$KI$1:$KI$1048576,"*RELOC*",[1]SurveyDATA!$E$1:$E$1048576,"*BOCAUE*",[1]SurveyDATA!$JR$1:$JR$1048576,"*NEED*",[1]SurveyDATA!KR$1:KR$1048576,"x")</f>
        <v>0</v>
      </c>
      <c r="D10" s="82" t="n">
        <f aca="false">COUNTIFS([1]SurveyDATA!$VX$1:$VX$1048576,"*SAMPLING*",[1]SurveyDATA!$VW$1:$VW$1048576,"*ISF*",[1]SurveyDATA!$KI$1:$KI$1048576,"*RELOC*",[1]SurveyDATA!$E$1:$E$1048576,"*BOCAUE*",[1]SurveyDATA!$JR$1:$JR$1048576,"*NEED*",[1]SurveyDATA!KS$1:KS$1048576,"x")</f>
        <v>0</v>
      </c>
      <c r="E10" s="82" t="n">
        <f aca="false">COUNTIFS([1]SurveyDATA!$VX$1:$VX$1048576,"*SAMPLING*",[1]SurveyDATA!$VW$1:$VW$1048576,"*ISF*",[1]SurveyDATA!$KI$1:$KI$1048576,"*RELOC*",[1]SurveyDATA!$E$1:$E$1048576,"*BOCAUE*",[1]SurveyDATA!$JR$1:$JR$1048576,"*NEED*",[1]SurveyDATA!KT$1:KT$1048576,"x")</f>
        <v>0</v>
      </c>
      <c r="F10" s="82" t="n">
        <f aca="false">COUNTIFS([1]SurveyDATA!$VX$1:$VX$1048576,"*SAMPLING*",[1]SurveyDATA!$VW$1:$VW$1048576,"*ISF*",[1]SurveyDATA!$KI$1:$KI$1048576,"*RELOC*",[1]SurveyDATA!$E$1:$E$1048576,"*BOCAUE*",[1]SurveyDATA!$JR$1:$JR$1048576,"*NEED*",[1]SurveyDATA!KU$1:KU$1048576,"x")</f>
        <v>0</v>
      </c>
      <c r="G10" s="82" t="n">
        <f aca="false">COUNTIFS([1]SurveyDATA!$VX$1:$VX$1048576,"*SAMPLING*",[1]SurveyDATA!$VW$1:$VW$1048576,"*ISF*",[1]SurveyDATA!$KI$1:$KI$1048576,"*RELOC*",[1]SurveyDATA!$E$1:$E$1048576,"*BOCAUE*",[1]SurveyDATA!$JR$1:$JR$1048576,"*NEED*",[1]SurveyDATA!KV$1:KV$1048576,"x")</f>
        <v>0</v>
      </c>
      <c r="H10" s="82" t="n">
        <f aca="false">COUNTIFS([1]SurveyDATA!$VX$1:$VX$1048576,"*SAMPLING*",[1]SurveyDATA!$VW$1:$VW$1048576,"*ISF*",[1]SurveyDATA!$KI$1:$KI$1048576,"*RELOC*",[1]SurveyDATA!$E$1:$E$1048576,"*BOCAUE*",[1]SurveyDATA!$JR$1:$JR$1048576,"*NEED*",[1]SurveyDATA!KW$1:KW$1048576,"*")</f>
        <v>0</v>
      </c>
      <c r="I10" s="82" t="n">
        <f aca="false">SUM(B10:H10)</f>
        <v>0</v>
      </c>
    </row>
    <row r="11" customFormat="false" ht="15" hidden="false" customHeight="false" outlineLevel="0" collapsed="false">
      <c r="A11" s="25" t="s">
        <v>85</v>
      </c>
      <c r="B11" s="82" t="n">
        <f aca="false">COUNTIFS([1]SurveyDATA!$VX$1:$VX$1048576,"*SAMPLING*",[1]SurveyDATA!$VW$1:$VW$1048576,"*ISF*",[1]SurveyDATA!$KI$1:$KI$1048576,"*RELOC*",[1]SurveyDATA!$E$1:$E$1048576,"*MARILAO*",[1]SurveyDATA!$JR$1:$JR$1048576,"*NEED*",[1]SurveyDATA!KQ$1:KQ$1048576,"x")</f>
        <v>0</v>
      </c>
      <c r="C11" s="82" t="n">
        <f aca="false">COUNTIFS([1]SurveyDATA!$VX$1:$VX$1048576,"*SAMPLING*",[1]SurveyDATA!$VW$1:$VW$1048576,"*ISF*",[1]SurveyDATA!$KI$1:$KI$1048576,"*RELOC*",[1]SurveyDATA!$E$1:$E$1048576,"*MARILAO*",[1]SurveyDATA!$JR$1:$JR$1048576,"*NEED*",[1]SurveyDATA!KR$1:KR$1048576,"x")</f>
        <v>0</v>
      </c>
      <c r="D11" s="82" t="n">
        <f aca="false">COUNTIFS([1]SurveyDATA!$VX$1:$VX$1048576,"*SAMPLING*",[1]SurveyDATA!$VW$1:$VW$1048576,"*ISF*",[1]SurveyDATA!$KI$1:$KI$1048576,"*RELOC*",[1]SurveyDATA!$E$1:$E$1048576,"*MARILAO*",[1]SurveyDATA!$JR$1:$JR$1048576,"*NEED*",[1]SurveyDATA!KS$1:KS$1048576,"x")</f>
        <v>0</v>
      </c>
      <c r="E11" s="82" t="n">
        <f aca="false">COUNTIFS([1]SurveyDATA!$VX$1:$VX$1048576,"*SAMPLING*",[1]SurveyDATA!$VW$1:$VW$1048576,"*ISF*",[1]SurveyDATA!$KI$1:$KI$1048576,"*RELOC*",[1]SurveyDATA!$E$1:$E$1048576,"*MARILAO*",[1]SurveyDATA!$JR$1:$JR$1048576,"*NEED*",[1]SurveyDATA!KT$1:KT$1048576,"x")</f>
        <v>0</v>
      </c>
      <c r="F11" s="82" t="n">
        <f aca="false">COUNTIFS([1]SurveyDATA!$VX$1:$VX$1048576,"*SAMPLING*",[1]SurveyDATA!$VW$1:$VW$1048576,"*ISF*",[1]SurveyDATA!$KI$1:$KI$1048576,"*RELOC*",[1]SurveyDATA!$E$1:$E$1048576,"*MARILAO*",[1]SurveyDATA!$JR$1:$JR$1048576,"*NEED*",[1]SurveyDATA!KU$1:KU$1048576,"x")</f>
        <v>0</v>
      </c>
      <c r="G11" s="82" t="n">
        <f aca="false">COUNTIFS([1]SurveyDATA!$VX$1:$VX$1048576,"*SAMPLING*",[1]SurveyDATA!$VW$1:$VW$1048576,"*ISF*",[1]SurveyDATA!$KI$1:$KI$1048576,"*RELOC*",[1]SurveyDATA!$E$1:$E$1048576,"*MARILAO*",[1]SurveyDATA!$JR$1:$JR$1048576,"*NEED*",[1]SurveyDATA!KV$1:KV$1048576,"x")</f>
        <v>0</v>
      </c>
      <c r="H11" s="82" t="n">
        <f aca="false">COUNTIFS([1]SurveyDATA!$VX$1:$VX$1048576,"*SAMPLING*",[1]SurveyDATA!$VW$1:$VW$1048576,"*ISF*",[1]SurveyDATA!$KI$1:$KI$1048576,"*RELOC*",[1]SurveyDATA!$E$1:$E$1048576,"*MARILAO*",[1]SurveyDATA!$JR$1:$JR$1048576,"*NEED*",[1]SurveyDATA!KW$1:KW$1048576,"*")</f>
        <v>0</v>
      </c>
      <c r="I11" s="82" t="n">
        <f aca="false">SUM(B11:H11)</f>
        <v>0</v>
      </c>
    </row>
    <row r="12" customFormat="false" ht="25.5" hidden="false" customHeight="false" outlineLevel="0" collapsed="false">
      <c r="A12" s="25" t="s">
        <v>86</v>
      </c>
      <c r="B12" s="82" t="n">
        <f aca="false">COUNTIFS([1]SurveyDATA!$VX$1:$VX$1048576,"*SAMPLING*",[1]SurveyDATA!$VW$1:$VW$1048576,"*ISF*",[1]SurveyDATA!$KI$1:$KI$1048576,"*RELOC*",[1]SurveyDATA!$E$1:$E$1048576,"*MEYCAUAYAN*",[1]SurveyDATA!$JR$1:$JR$1048576,"*NEED*",[1]SurveyDATA!KQ$1:KQ$1048576,"x")</f>
        <v>0</v>
      </c>
      <c r="C12" s="82" t="n">
        <f aca="false">COUNTIFS([1]SurveyDATA!$VX$1:$VX$1048576,"*SAMPLING*",[1]SurveyDATA!$VW$1:$VW$1048576,"*ISF*",[1]SurveyDATA!$KI$1:$KI$1048576,"*RELOC*",[1]SurveyDATA!$E$1:$E$1048576,"*MEYCAUAYAN*",[1]SurveyDATA!$JR$1:$JR$1048576,"*NEED*",[1]SurveyDATA!KR$1:KR$1048576,"x")</f>
        <v>0</v>
      </c>
      <c r="D12" s="82" t="n">
        <f aca="false">COUNTIFS([1]SurveyDATA!$VX$1:$VX$1048576,"*SAMPLING*",[1]SurveyDATA!$VW$1:$VW$1048576,"*ISF*",[1]SurveyDATA!$KI$1:$KI$1048576,"*RELOC*",[1]SurveyDATA!$E$1:$E$1048576,"*MEYCAUAYAN*",[1]SurveyDATA!$JR$1:$JR$1048576,"*NEED*",[1]SurveyDATA!KS$1:KS$1048576,"x")</f>
        <v>0</v>
      </c>
      <c r="E12" s="82" t="n">
        <f aca="false">COUNTIFS([1]SurveyDATA!$VX$1:$VX$1048576,"*SAMPLING*",[1]SurveyDATA!$VW$1:$VW$1048576,"*ISF*",[1]SurveyDATA!$KI$1:$KI$1048576,"*RELOC*",[1]SurveyDATA!$E$1:$E$1048576,"*MEYCAUAYAN*",[1]SurveyDATA!$JR$1:$JR$1048576,"*NEED*",[1]SurveyDATA!KT$1:KT$1048576,"x")</f>
        <v>0</v>
      </c>
      <c r="F12" s="82" t="n">
        <f aca="false">COUNTIFS([1]SurveyDATA!$VX$1:$VX$1048576,"*SAMPLING*",[1]SurveyDATA!$VW$1:$VW$1048576,"*ISF*",[1]SurveyDATA!$KI$1:$KI$1048576,"*RELOC*",[1]SurveyDATA!$E$1:$E$1048576,"*MEYCAUAYAN*",[1]SurveyDATA!$JR$1:$JR$1048576,"*NEED*",[1]SurveyDATA!KU$1:KU$1048576,"x")</f>
        <v>0</v>
      </c>
      <c r="G12" s="82" t="n">
        <f aca="false">COUNTIFS([1]SurveyDATA!$VX$1:$VX$1048576,"*SAMPLING*",[1]SurveyDATA!$VW$1:$VW$1048576,"*ISF*",[1]SurveyDATA!$KI$1:$KI$1048576,"*RELOC*",[1]SurveyDATA!$E$1:$E$1048576,"*MEYCAUAYAN*",[1]SurveyDATA!$JR$1:$JR$1048576,"*NEED*",[1]SurveyDATA!KV$1:KV$1048576,"x")</f>
        <v>0</v>
      </c>
      <c r="H12" s="82" t="n">
        <f aca="false">COUNTIFS([1]SurveyDATA!$VX$1:$VX$1048576,"*SAMPLING*",[1]SurveyDATA!$VW$1:$VW$1048576,"*ISF*",[1]SurveyDATA!$KI$1:$KI$1048576,"*RELOC*",[1]SurveyDATA!$E$1:$E$1048576,"*MEYCAUAYAN*",[1]SurveyDATA!$JR$1:$JR$1048576,"*NEED*",[1]SurveyDATA!KW$1:KW$1048576,"*")</f>
        <v>0</v>
      </c>
      <c r="I12" s="82" t="n">
        <f aca="false">SUM(B12:H12)</f>
        <v>0</v>
      </c>
    </row>
    <row r="13" customFormat="false" ht="15" hidden="false" customHeight="false" outlineLevel="0" collapsed="false">
      <c r="A13" s="25" t="s">
        <v>87</v>
      </c>
      <c r="B13" s="82" t="n">
        <f aca="false">COUNTIFS([1]SurveyDATA!$VX$1:$VX$1048576,"*SAMPLING*",[1]SurveyDATA!$VW$1:$VW$1048576,"*ISF*",[1]SurveyDATA!$KI$1:$KI$1048576,"*RELOC*",[1]SurveyDATA!$E$1:$E$1048576,"*VALENZUELA*",[1]SurveyDATA!$JR$1:$JR$1048576,"*NEED*",[1]SurveyDATA!KQ$1:KQ$1048576,"x")</f>
        <v>0</v>
      </c>
      <c r="C13" s="82" t="n">
        <f aca="false">COUNTIFS([1]SurveyDATA!$VX$1:$VX$1048576,"*SAMPLING*",[1]SurveyDATA!$VW$1:$VW$1048576,"*ISF*",[1]SurveyDATA!$KI$1:$KI$1048576,"*RELOC*",[1]SurveyDATA!$E$1:$E$1048576,"*VALENZUELA*",[1]SurveyDATA!$JR$1:$JR$1048576,"*NEED*",[1]SurveyDATA!KR$1:KR$1048576,"x")</f>
        <v>0</v>
      </c>
      <c r="D13" s="82" t="n">
        <f aca="false">COUNTIFS([1]SurveyDATA!$VX$1:$VX$1048576,"*SAMPLING*",[1]SurveyDATA!$VW$1:$VW$1048576,"*ISF*",[1]SurveyDATA!$KI$1:$KI$1048576,"*RELOC*",[1]SurveyDATA!$E$1:$E$1048576,"*VALENZUELA*",[1]SurveyDATA!$JR$1:$JR$1048576,"*NEED*",[1]SurveyDATA!KS$1:KS$1048576,"x")</f>
        <v>0</v>
      </c>
      <c r="E13" s="82" t="n">
        <f aca="false">COUNTIFS([1]SurveyDATA!$VX$1:$VX$1048576,"*SAMPLING*",[1]SurveyDATA!$VW$1:$VW$1048576,"*ISF*",[1]SurveyDATA!$KI$1:$KI$1048576,"*RELOC*",[1]SurveyDATA!$E$1:$E$1048576,"*VALENZUELA*",[1]SurveyDATA!$JR$1:$JR$1048576,"*NEED*",[1]SurveyDATA!KT$1:KT$1048576,"x")</f>
        <v>0</v>
      </c>
      <c r="F13" s="82" t="n">
        <f aca="false">COUNTIFS([1]SurveyDATA!$VX$1:$VX$1048576,"*SAMPLING*",[1]SurveyDATA!$VW$1:$VW$1048576,"*ISF*",[1]SurveyDATA!$KI$1:$KI$1048576,"*RELOC*",[1]SurveyDATA!$E$1:$E$1048576,"*VALENZUELA*",[1]SurveyDATA!$JR$1:$JR$1048576,"*NEED*",[1]SurveyDATA!KU$1:KU$1048576,"x")</f>
        <v>0</v>
      </c>
      <c r="G13" s="82" t="n">
        <f aca="false">COUNTIFS([1]SurveyDATA!$VX$1:$VX$1048576,"*SAMPLING*",[1]SurveyDATA!$VW$1:$VW$1048576,"*ISF*",[1]SurveyDATA!$KI$1:$KI$1048576,"*RELOC*",[1]SurveyDATA!$E$1:$E$1048576,"*VALENZUELA*",[1]SurveyDATA!$JR$1:$JR$1048576,"*NEED*",[1]SurveyDATA!KV$1:KV$1048576,"x")</f>
        <v>0</v>
      </c>
      <c r="H13" s="82" t="n">
        <f aca="false">COUNTIFS([1]SurveyDATA!$VX$1:$VX$1048576,"*SAMPLING*",[1]SurveyDATA!$VW$1:$VW$1048576,"*ISF*",[1]SurveyDATA!$KI$1:$KI$1048576,"*RELOC*",[1]SurveyDATA!$E$1:$E$1048576,"*VALENZUELA*",[1]SurveyDATA!$JR$1:$JR$1048576,"*NEED*",[1]SurveyDATA!KW$1:KW$1048576,"*")</f>
        <v>0</v>
      </c>
      <c r="I13" s="82" t="n">
        <f aca="false">SUM(B13:H13)</f>
        <v>0</v>
      </c>
    </row>
    <row r="14" customFormat="false" ht="15" hidden="false" customHeight="false" outlineLevel="0" collapsed="false">
      <c r="A14" s="25" t="s">
        <v>90</v>
      </c>
      <c r="B14" s="82" t="n">
        <f aca="false">COUNTIFS([1]SurveyDATA!$VX$1:$VX$1048576,"*SAMPLING*",[1]SurveyDATA!$VW$1:$VW$1048576,"*ISF*",[1]SurveyDATA!$KI$1:$KI$1048576,"*RELOC*",[1]SurveyDATA!$E$1:$E$1048576,"*CALOOCAN*",[1]SurveyDATA!$JR$1:$JR$1048576,"*NEED*",[1]SurveyDATA!KQ$1:KQ$1048576,"x")</f>
        <v>0</v>
      </c>
      <c r="C14" s="82" t="n">
        <f aca="false">COUNTIFS([1]SurveyDATA!$VX$1:$VX$1048576,"*SAMPLING*",[1]SurveyDATA!$VW$1:$VW$1048576,"*ISF*",[1]SurveyDATA!$KI$1:$KI$1048576,"*RELOC*",[1]SurveyDATA!$E$1:$E$1048576,"*CALOOCAN*",[1]SurveyDATA!$JR$1:$JR$1048576,"*NEED*",[1]SurveyDATA!KR$1:KR$1048576,"x")</f>
        <v>0</v>
      </c>
      <c r="D14" s="82" t="n">
        <f aca="false">COUNTIFS([1]SurveyDATA!$VX$1:$VX$1048576,"*SAMPLING*",[1]SurveyDATA!$VW$1:$VW$1048576,"*ISF*",[1]SurveyDATA!$KI$1:$KI$1048576,"*RELOC*",[1]SurveyDATA!$E$1:$E$1048576,"*CALOOCAN*",[1]SurveyDATA!$JR$1:$JR$1048576,"*NEED*",[1]SurveyDATA!KS$1:KS$1048576,"x")</f>
        <v>0</v>
      </c>
      <c r="E14" s="82" t="n">
        <f aca="false">COUNTIFS([1]SurveyDATA!$VX$1:$VX$1048576,"*SAMPLING*",[1]SurveyDATA!$VW$1:$VW$1048576,"*ISF*",[1]SurveyDATA!$KI$1:$KI$1048576,"*RELOC*",[1]SurveyDATA!$E$1:$E$1048576,"*CALOOCAN*",[1]SurveyDATA!$JR$1:$JR$1048576,"*NEED*",[1]SurveyDATA!KT$1:KT$1048576,"x")</f>
        <v>0</v>
      </c>
      <c r="F14" s="82" t="n">
        <f aca="false">COUNTIFS([1]SurveyDATA!$VX$1:$VX$1048576,"*SAMPLING*",[1]SurveyDATA!$VW$1:$VW$1048576,"*ISF*",[1]SurveyDATA!$KI$1:$KI$1048576,"*RELOC*",[1]SurveyDATA!$E$1:$E$1048576,"*CALOOCAN*",[1]SurveyDATA!$JR$1:$JR$1048576,"*NEED*",[1]SurveyDATA!KU$1:KU$1048576,"x")</f>
        <v>0</v>
      </c>
      <c r="G14" s="82" t="n">
        <f aca="false">COUNTIFS([1]SurveyDATA!$VX$1:$VX$1048576,"*SAMPLING*",[1]SurveyDATA!$VW$1:$VW$1048576,"*ISF*",[1]SurveyDATA!$KI$1:$KI$1048576,"*RELOC*",[1]SurveyDATA!$E$1:$E$1048576,"*CALOOCAN*",[1]SurveyDATA!$JR$1:$JR$1048576,"*NEED*",[1]SurveyDATA!KV$1:KV$1048576,"x")</f>
        <v>0</v>
      </c>
      <c r="H14" s="82" t="n">
        <f aca="false">COUNTIFS([1]SurveyDATA!$VX$1:$VX$1048576,"*SAMPLING*",[1]SurveyDATA!$VW$1:$VW$1048576,"*ISF*",[1]SurveyDATA!$KI$1:$KI$1048576,"*RELOC*",[1]SurveyDATA!$E$1:$E$1048576,"*CALOOCAN*",[1]SurveyDATA!$JR$1:$JR$1048576,"*NEED*",[1]SurveyDATA!KW$1:KW$1048576,"*")</f>
        <v>0</v>
      </c>
      <c r="I14" s="82" t="n">
        <f aca="false">SUM(B14:H14)</f>
        <v>0</v>
      </c>
    </row>
    <row r="15" customFormat="false" ht="15" hidden="false" customHeight="false" outlineLevel="0" collapsed="false">
      <c r="A15" s="25" t="s">
        <v>100</v>
      </c>
      <c r="B15" s="82" t="n">
        <f aca="false">COUNTIFS([1]SurveyDATA!$VX$1:$VX$1048576,"*SAMPLING*",[1]SurveyDATA!$VW$1:$VW$1048576,"*ISF*",[1]SurveyDATA!$KI$1:$KI$1048576,"*RELOC*",[1]SurveyDATA!$E$1:$E$1048576,"*MANILA*",[1]SurveyDATA!$JR$1:$JR$1048576,"*NEED*",[1]SurveyDATA!KQ$1:KQ$1048576,"x")</f>
        <v>0</v>
      </c>
      <c r="C15" s="82" t="n">
        <f aca="false">COUNTIFS([1]SurveyDATA!$VX$1:$VX$1048576,"*SAMPLING*",[1]SurveyDATA!$VW$1:$VW$1048576,"*ISF*",[1]SurveyDATA!$KI$1:$KI$1048576,"*RELOC*",[1]SurveyDATA!$E$1:$E$1048576,"*MANILA*",[1]SurveyDATA!$JR$1:$JR$1048576,"*NEED*",[1]SurveyDATA!KR$1:KR$1048576,"x")</f>
        <v>0</v>
      </c>
      <c r="D15" s="82" t="n">
        <f aca="false">COUNTIFS([1]SurveyDATA!$VX$1:$VX$1048576,"*SAMPLING*",[1]SurveyDATA!$VW$1:$VW$1048576,"*ISF*",[1]SurveyDATA!$KI$1:$KI$1048576,"*RELOC*",[1]SurveyDATA!$E$1:$E$1048576,"*MANILA*",[1]SurveyDATA!$JR$1:$JR$1048576,"*NEED*",[1]SurveyDATA!KS$1:KS$1048576,"x")</f>
        <v>0</v>
      </c>
      <c r="E15" s="82" t="n">
        <f aca="false">COUNTIFS([1]SurveyDATA!$VX$1:$VX$1048576,"*SAMPLING*",[1]SurveyDATA!$VW$1:$VW$1048576,"*ISF*",[1]SurveyDATA!$KI$1:$KI$1048576,"*RELOC*",[1]SurveyDATA!$E$1:$E$1048576,"*MANILA*",[1]SurveyDATA!$JR$1:$JR$1048576,"*NEED*",[1]SurveyDATA!KT$1:KT$1048576,"x")</f>
        <v>0</v>
      </c>
      <c r="F15" s="82" t="n">
        <f aca="false">COUNTIFS([1]SurveyDATA!$VX$1:$VX$1048576,"*SAMPLING*",[1]SurveyDATA!$VW$1:$VW$1048576,"*ISF*",[1]SurveyDATA!$KI$1:$KI$1048576,"*RELOC*",[1]SurveyDATA!$E$1:$E$1048576,"*MANILA*",[1]SurveyDATA!$JR$1:$JR$1048576,"*NEED*",[1]SurveyDATA!KU$1:KU$1048576,"x")</f>
        <v>0</v>
      </c>
      <c r="G15" s="82" t="n">
        <f aca="false">COUNTIFS([1]SurveyDATA!$VX$1:$VX$1048576,"*SAMPLING*",[1]SurveyDATA!$VW$1:$VW$1048576,"*ISF*",[1]SurveyDATA!$KI$1:$KI$1048576,"*RELOC*",[1]SurveyDATA!$E$1:$E$1048576,"*MANILA*",[1]SurveyDATA!$JR$1:$JR$1048576,"*NEED*",[1]SurveyDATA!KV$1:KV$1048576,"x")</f>
        <v>0</v>
      </c>
      <c r="H15" s="82" t="n">
        <f aca="false">COUNTIFS([1]SurveyDATA!$VX$1:$VX$1048576,"*SAMPLING*",[1]SurveyDATA!$VW$1:$VW$1048576,"*ISF*",[1]SurveyDATA!$KI$1:$KI$1048576,"*RELOC*",[1]SurveyDATA!$E$1:$E$1048576,"*MANILA*",[1]SurveyDATA!$JR$1:$JR$1048576,"*NEED*",[1]SurveyDATA!KW$1:KW$1048576,"*")</f>
        <v>0</v>
      </c>
      <c r="I15" s="82" t="n">
        <f aca="false">SUM(B15:H15)</f>
        <v>0</v>
      </c>
    </row>
    <row r="16" customFormat="false" ht="15" hidden="false" customHeight="false" outlineLevel="0" collapsed="false">
      <c r="A16" s="32" t="s">
        <v>12</v>
      </c>
      <c r="B16" s="26" t="n">
        <f aca="false">SUM(B7:B15)</f>
        <v>0</v>
      </c>
      <c r="C16" s="26" t="n">
        <f aca="false">SUM(C7:C15)</f>
        <v>0</v>
      </c>
      <c r="D16" s="26" t="n">
        <f aca="false">SUM(D7:D15)</f>
        <v>0</v>
      </c>
      <c r="E16" s="26" t="n">
        <f aca="false">SUM(E7:E15)</f>
        <v>0</v>
      </c>
      <c r="F16" s="26" t="n">
        <f aca="false">SUM(F7:F15)</f>
        <v>0</v>
      </c>
      <c r="G16" s="26" t="n">
        <f aca="false">SUM(G7:G15)</f>
        <v>0</v>
      </c>
      <c r="H16" s="26" t="n">
        <f aca="false">SUM(H7:H15)</f>
        <v>0</v>
      </c>
      <c r="I16" s="26" t="n">
        <f aca="false">SUM(I7:I15)</f>
        <v>0</v>
      </c>
    </row>
    <row r="17" customFormat="false" ht="25.5" hidden="false" customHeight="false" outlineLevel="0" collapsed="false">
      <c r="A17" s="29" t="s">
        <v>117</v>
      </c>
      <c r="B17" s="221" t="e">
        <f aca="false">B16/$I16</f>
        <v>#DIV/0!</v>
      </c>
      <c r="C17" s="221" t="e">
        <f aca="false">C16/$I16</f>
        <v>#DIV/0!</v>
      </c>
      <c r="D17" s="221" t="e">
        <f aca="false">D16/$I16</f>
        <v>#DIV/0!</v>
      </c>
      <c r="E17" s="221" t="e">
        <f aca="false">E16/$I16</f>
        <v>#DIV/0!</v>
      </c>
      <c r="F17" s="221" t="e">
        <f aca="false">F16/$I16</f>
        <v>#DIV/0!</v>
      </c>
      <c r="G17" s="221" t="e">
        <f aca="false">G16/$I16</f>
        <v>#DIV/0!</v>
      </c>
      <c r="H17" s="221" t="e">
        <f aca="false">H16/$I16</f>
        <v>#DIV/0!</v>
      </c>
      <c r="I17" s="221" t="e">
        <f aca="false">SUM(B17:H17)</f>
        <v>#DIV/0!</v>
      </c>
    </row>
    <row r="19" customFormat="false" ht="15" hidden="false" customHeight="false" outlineLevel="0" collapsed="false">
      <c r="A19" s="0" t="s">
        <v>265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7" activeCellId="0" sqref="I17"/>
    </sheetView>
  </sheetViews>
  <sheetFormatPr defaultRowHeight="15" outlineLevelRow="0" outlineLevelCol="0"/>
  <cols>
    <col collapsed="false" customWidth="true" hidden="false" outlineLevel="0" max="9" min="1" style="0" width="8.67"/>
    <col collapsed="false" customWidth="true" hidden="false" outlineLevel="0" max="10" min="10" style="0" width="9.14"/>
    <col collapsed="false" customWidth="true" hidden="false" outlineLevel="0" max="1025" min="11" style="0" width="8.67"/>
  </cols>
  <sheetData>
    <row r="1" customFormat="false" ht="15" hidden="false" customHeight="false" outlineLevel="0" collapsed="false">
      <c r="A1" s="226" t="s">
        <v>494</v>
      </c>
      <c r="B1" s="226"/>
    </row>
    <row r="2" customFormat="false" ht="15" hidden="false" customHeight="false" outlineLevel="0" collapsed="false">
      <c r="A2" s="226"/>
      <c r="B2" s="226" t="s">
        <v>495</v>
      </c>
      <c r="C2" s="0" t="s">
        <v>496</v>
      </c>
      <c r="D2" s="0" t="s">
        <v>497</v>
      </c>
      <c r="E2" s="0" t="s">
        <v>498</v>
      </c>
      <c r="F2" s="0" t="s">
        <v>499</v>
      </c>
      <c r="G2" s="0" t="s">
        <v>500</v>
      </c>
      <c r="H2" s="0" t="s">
        <v>501</v>
      </c>
      <c r="I2" s="0" t="s">
        <v>502</v>
      </c>
      <c r="J2" s="0" t="s">
        <v>503</v>
      </c>
    </row>
    <row r="3" customFormat="false" ht="38.25" hidden="false" customHeight="false" outlineLevel="0" collapsed="false">
      <c r="A3" s="23" t="s">
        <v>504</v>
      </c>
      <c r="B3" s="23" t="s">
        <v>505</v>
      </c>
      <c r="C3" s="23" t="s">
        <v>506</v>
      </c>
      <c r="D3" s="23" t="s">
        <v>507</v>
      </c>
      <c r="E3" s="23" t="s">
        <v>508</v>
      </c>
      <c r="F3" s="23" t="s">
        <v>509</v>
      </c>
      <c r="G3" s="23" t="s">
        <v>510</v>
      </c>
      <c r="H3" s="23" t="s">
        <v>511</v>
      </c>
      <c r="I3" s="23" t="s">
        <v>512</v>
      </c>
      <c r="J3" s="23" t="s">
        <v>493</v>
      </c>
      <c r="K3" s="23" t="s">
        <v>80</v>
      </c>
    </row>
    <row r="4" customFormat="false" ht="15" hidden="false" customHeight="false" outlineLevel="0" collapsed="false">
      <c r="A4" s="25" t="s">
        <v>81</v>
      </c>
      <c r="B4" s="25" t="n">
        <f aca="false">COUNTIFS([1]SurveyDATA!$VX$1:$VX$1048576,"*SAMPLING*",[1]SurveyDATA!$VW$1:$VW$1048576,"*ISF*",[1]SurveyDATA!$KI$1:$KI$1048576,"*RELOC*",[1]SurveyDATA!$E$1:$E$1048576,"*MALOLOS*",[1]SurveyDATA!$JR$1:$JR$1048576,"*NEED*",[1]SurveyDATA!KZ$1:KZ$1048576,"x")</f>
        <v>0</v>
      </c>
      <c r="C4" s="25" t="n">
        <f aca="false">COUNTIFS([1]SurveyDATA!$VX$1:$VX$1048576,"*SAMPLING*",[1]SurveyDATA!$VW$1:$VW$1048576,"*ISF*",[1]SurveyDATA!$KI$1:$KI$1048576,"*RELOC*",[1]SurveyDATA!$E$1:$E$1048576,"*MALOLOS*",[1]SurveyDATA!$JR$1:$JR$1048576,"*NEED*",[1]SurveyDATA!LA$1:LA$1048576,"x")</f>
        <v>0</v>
      </c>
      <c r="D4" s="25" t="n">
        <f aca="false">COUNTIFS([1]SurveyDATA!$VX$1:$VX$1048576,"*SAMPLING*",[1]SurveyDATA!$VW$1:$VW$1048576,"*ISF*",[1]SurveyDATA!$KI$1:$KI$1048576,"*RELOC*",[1]SurveyDATA!$E$1:$E$1048576,"*MALOLOS*",[1]SurveyDATA!$JR$1:$JR$1048576,"*NEED*",[1]SurveyDATA!LB$1:LB$1048576,"x")</f>
        <v>0</v>
      </c>
      <c r="E4" s="25" t="n">
        <f aca="false">COUNTIFS([1]SurveyDATA!$VX$1:$VX$1048576,"*SAMPLING*",[1]SurveyDATA!$VW$1:$VW$1048576,"*ISF*",[1]SurveyDATA!$KI$1:$KI$1048576,"*RELOC*",[1]SurveyDATA!$E$1:$E$1048576,"*V*",[1]SurveyDATA!$JR$1:$JR$1048576,"*NEED*",[1]SurveyDATA!LC$1:LC$1048576,"x")</f>
        <v>0</v>
      </c>
      <c r="F4" s="25" t="n">
        <f aca="false">COUNTIFS([1]SurveyDATA!$VX$1:$VX$1048576,"*SAMPLING*",[1]SurveyDATA!$VW$1:$VW$1048576,"*ISF*",[1]SurveyDATA!$KI$1:$KI$1048576,"*RELOC*",[1]SurveyDATA!$E$1:$E$1048576,"*MALOLOS*",[1]SurveyDATA!$JR$1:$JR$1048576,"*NEED*",[1]SurveyDATA!LD$1:LD$1048576,"x")</f>
        <v>0</v>
      </c>
      <c r="G4" s="25" t="n">
        <f aca="false">COUNTIFS([1]SurveyDATA!$VX$1:$VX$1048576,"*SAMPLING*",[1]SurveyDATA!$VW$1:$VW$1048576,"*ISF*",[1]SurveyDATA!$KI$1:$KI$1048576,"*RELOC*",[1]SurveyDATA!$E$1:$E$1048576,"*MALOLOS*",[1]SurveyDATA!$JR$1:$JR$1048576,"*NEED*",[1]SurveyDATA!LE$1:LE$1048576,"x")</f>
        <v>0</v>
      </c>
      <c r="H4" s="25" t="n">
        <f aca="false">COUNTIFS([1]SurveyDATA!$VX$1:$VX$1048576,"*SAMPLING*",[1]SurveyDATA!$VW$1:$VW$1048576,"*ISF*",[1]SurveyDATA!$KI$1:$KI$1048576,"*RELOC*",[1]SurveyDATA!$E$1:$E$1048576,"*MALOLOS*",[1]SurveyDATA!$JR$1:$JR$1048576,"*NEED*",[1]SurveyDATA!LF$1:LF$1048576,"x")</f>
        <v>0</v>
      </c>
      <c r="I4" s="25" t="n">
        <f aca="false">COUNTIFS([1]SurveyDATA!$VX$1:$VX$1048576,"*SAMPLING*",[1]SurveyDATA!$VW$1:$VW$1048576,"*ISF*",[1]SurveyDATA!$KI$1:$KI$1048576,"*RELOC*",[1]SurveyDATA!$E$1:$E$1048576,"*MALOLOS*",[1]SurveyDATA!$JR$1:$JR$1048576,"*NEED*",[1]SurveyDATA!LG$1:LG$1048576,"x")</f>
        <v>0</v>
      </c>
      <c r="J4" s="25"/>
      <c r="K4" s="25" t="n">
        <f aca="false">SUM(B4:I4)</f>
        <v>0</v>
      </c>
    </row>
    <row r="5" customFormat="false" ht="15" hidden="false" customHeight="false" outlineLevel="0" collapsed="false">
      <c r="A5" s="25" t="s">
        <v>82</v>
      </c>
      <c r="B5" s="25" t="n">
        <f aca="false">COUNTIFS([1]SurveyDATA!$VX$1:$VX$1048576,"*SAMPLING*",[1]SurveyDATA!$VW$1:$VW$1048576,"*ISF*",[1]SurveyDATA!$KI$1:$KI$1048576,"*RELOC*",[1]SurveyDATA!$E$1:$E$1048576,"*GUIGUINTO*",[1]SurveyDATA!$JR$1:$JR$1048576,"*NEED*",[1]SurveyDATA!KZ$1:KZ$1048576,"x")</f>
        <v>0</v>
      </c>
      <c r="C5" s="25" t="n">
        <f aca="false">COUNTIFS([1]SurveyDATA!$VX$1:$VX$1048576,"*SAMPLING*",[1]SurveyDATA!$VW$1:$VW$1048576,"*ISF*",[1]SurveyDATA!$KI$1:$KI$1048576,"*RELOC*",[1]SurveyDATA!$E$1:$E$1048576,"*GUIGUINTO*",[1]SurveyDATA!$JR$1:$JR$1048576,"*NEED*",[1]SurveyDATA!LA$1:LA$1048576,"x")</f>
        <v>0</v>
      </c>
      <c r="D5" s="25" t="n">
        <f aca="false">COUNTIFS([1]SurveyDATA!$VX$1:$VX$1048576,"*SAMPLING*",[1]SurveyDATA!$VW$1:$VW$1048576,"*ISF*",[1]SurveyDATA!$KI$1:$KI$1048576,"*RELOC*",[1]SurveyDATA!$E$1:$E$1048576,"*GUIGUINTO*",[1]SurveyDATA!$JR$1:$JR$1048576,"*NEED*",[1]SurveyDATA!LB$1:LB$1048576,"x")</f>
        <v>0</v>
      </c>
      <c r="E5" s="25" t="n">
        <f aca="false">COUNTIFS([1]SurveyDATA!$VX$1:$VX$1048576,"*SAMPLING*",[1]SurveyDATA!$VW$1:$VW$1048576,"*ISF*",[1]SurveyDATA!$KI$1:$KI$1048576,"*RELOC*",[1]SurveyDATA!$E$1:$E$1048576,"*GUIGUINTO*",[1]SurveyDATA!$JR$1:$JR$1048576,"*NEED*",[1]SurveyDATA!LC$1:LC$1048576,"x")</f>
        <v>0</v>
      </c>
      <c r="F5" s="25" t="n">
        <f aca="false">COUNTIFS([1]SurveyDATA!$VX$1:$VX$1048576,"*SAMPLING*",[1]SurveyDATA!$VW$1:$VW$1048576,"*ISF*",[1]SurveyDATA!$KI$1:$KI$1048576,"*RELOC*",[1]SurveyDATA!$E$1:$E$1048576,"*GUIGUINTO*",[1]SurveyDATA!$JR$1:$JR$1048576,"*NEED*",[1]SurveyDATA!LD$1:LD$1048576,"x")</f>
        <v>0</v>
      </c>
      <c r="G5" s="25" t="n">
        <f aca="false">COUNTIFS([1]SurveyDATA!$VX$1:$VX$1048576,"*SAMPLING*",[1]SurveyDATA!$VW$1:$VW$1048576,"*ISF*",[1]SurveyDATA!$KI$1:$KI$1048576,"*RELOC*",[1]SurveyDATA!$E$1:$E$1048576,"*GUIGUINTO*",[1]SurveyDATA!$JR$1:$JR$1048576,"*NEED*",[1]SurveyDATA!LE$1:LE$1048576,"x")</f>
        <v>0</v>
      </c>
      <c r="H5" s="25" t="n">
        <f aca="false">COUNTIFS([1]SurveyDATA!$VX$1:$VX$1048576,"*SAMPLING*",[1]SurveyDATA!$VW$1:$VW$1048576,"*ISF*",[1]SurveyDATA!$KI$1:$KI$1048576,"*RELOC*",[1]SurveyDATA!$E$1:$E$1048576,"*GUIGUINTO*",[1]SurveyDATA!$JR$1:$JR$1048576,"*NEED*",[1]SurveyDATA!LF$1:LF$1048576,"x")</f>
        <v>0</v>
      </c>
      <c r="I5" s="25" t="n">
        <f aca="false">COUNTIFS([1]SurveyDATA!$VX$1:$VX$1048576,"*SAMPLING*",[1]SurveyDATA!$VW$1:$VW$1048576,"*ISF*",[1]SurveyDATA!$KI$1:$KI$1048576,"*RELOC*",[1]SurveyDATA!$E$1:$E$1048576,"*GUIGUINTO*",[1]SurveyDATA!$JR$1:$JR$1048576,"*NEED*",[1]SurveyDATA!LG$1:LG$1048576,"x")</f>
        <v>0</v>
      </c>
      <c r="J5" s="25"/>
      <c r="K5" s="25" t="n">
        <f aca="false">SUM(B5:I5)</f>
        <v>0</v>
      </c>
    </row>
    <row r="6" customFormat="false" ht="15" hidden="false" customHeight="false" outlineLevel="0" collapsed="false">
      <c r="A6" s="25" t="s">
        <v>83</v>
      </c>
      <c r="B6" s="25" t="n">
        <f aca="false">COUNTIFS([1]SurveyDATA!$VX$1:$VX$1048576,"*SAMPLING*",[1]SurveyDATA!$VW$1:$VW$1048576,"*ISF*",[1]SurveyDATA!$KI$1:$KI$1048576,"*RELOC*",[1]SurveyDATA!$E$1:$E$1048576,"*BALAGTAS*",[1]SurveyDATA!$JR$1:$JR$1048576,"*NEED*",[1]SurveyDATA!KZ$1:KZ$1048576,"x")</f>
        <v>0</v>
      </c>
      <c r="C6" s="25" t="n">
        <f aca="false">COUNTIFS([1]SurveyDATA!$VX$1:$VX$1048576,"*SAMPLING*",[1]SurveyDATA!$VW$1:$VW$1048576,"*ISF*",[1]SurveyDATA!$KI$1:$KI$1048576,"*RELOC*",[1]SurveyDATA!$E$1:$E$1048576,"*BALAGTAS*",[1]SurveyDATA!$JR$1:$JR$1048576,"*NEED*",[1]SurveyDATA!LA$1:LA$1048576,"x")</f>
        <v>0</v>
      </c>
      <c r="D6" s="25" t="n">
        <f aca="false">COUNTIFS([1]SurveyDATA!$VX$1:$VX$1048576,"*SAMPLING*",[1]SurveyDATA!$VW$1:$VW$1048576,"*ISF*",[1]SurveyDATA!$KI$1:$KI$1048576,"*RELOC*",[1]SurveyDATA!$E$1:$E$1048576,"*BALAGTAS*",[1]SurveyDATA!$JR$1:$JR$1048576,"*NEED*",[1]SurveyDATA!LB$1:LB$1048576,"x")</f>
        <v>0</v>
      </c>
      <c r="E6" s="25" t="n">
        <f aca="false">COUNTIFS([1]SurveyDATA!$VX$1:$VX$1048576,"*SAMPLING*",[1]SurveyDATA!$VW$1:$VW$1048576,"*ISF*",[1]SurveyDATA!$KI$1:$KI$1048576,"*RELOC*",[1]SurveyDATA!$E$1:$E$1048576,"*BALAGTAS*",[1]SurveyDATA!$JR$1:$JR$1048576,"*NEED*",[1]SurveyDATA!LC$1:LC$1048576,"x")</f>
        <v>0</v>
      </c>
      <c r="F6" s="25" t="n">
        <f aca="false">COUNTIFS([1]SurveyDATA!$VX$1:$VX$1048576,"*SAMPLING*",[1]SurveyDATA!$VW$1:$VW$1048576,"*ISF*",[1]SurveyDATA!$KI$1:$KI$1048576,"*RELOC*",[1]SurveyDATA!$E$1:$E$1048576,"*BALAGTAS*",[1]SurveyDATA!$JR$1:$JR$1048576,"*NEED*",[1]SurveyDATA!LD$1:LD$1048576,"x")</f>
        <v>0</v>
      </c>
      <c r="G6" s="25" t="n">
        <f aca="false">COUNTIFS([1]SurveyDATA!$VX$1:$VX$1048576,"*SAMPLING*",[1]SurveyDATA!$VW$1:$VW$1048576,"*ISF*",[1]SurveyDATA!$KI$1:$KI$1048576,"*RELOC*",[1]SurveyDATA!$E$1:$E$1048576,"*BALAGTAS*",[1]SurveyDATA!$JR$1:$JR$1048576,"*NEED*",[1]SurveyDATA!LE$1:LE$1048576,"x")</f>
        <v>0</v>
      </c>
      <c r="H6" s="25" t="n">
        <f aca="false">COUNTIFS([1]SurveyDATA!$VX$1:$VX$1048576,"*SAMPLING*",[1]SurveyDATA!$VW$1:$VW$1048576,"*ISF*",[1]SurveyDATA!$KI$1:$KI$1048576,"*RELOC*",[1]SurveyDATA!$E$1:$E$1048576,"*BALAGTAS*",[1]SurveyDATA!$JR$1:$JR$1048576,"*NEED*",[1]SurveyDATA!LF$1:LF$1048576,"x")</f>
        <v>0</v>
      </c>
      <c r="I6" s="25" t="n">
        <f aca="false">COUNTIFS([1]SurveyDATA!$VX$1:$VX$1048576,"*SAMPLING*",[1]SurveyDATA!$VW$1:$VW$1048576,"*ISF*",[1]SurveyDATA!$KI$1:$KI$1048576,"*RELOC*",[1]SurveyDATA!$E$1:$E$1048576,"*BALAGTAS*",[1]SurveyDATA!$JR$1:$JR$1048576,"*NEED*",[1]SurveyDATA!LG$1:LG$1048576,"x")</f>
        <v>0</v>
      </c>
      <c r="J6" s="25"/>
      <c r="K6" s="25" t="n">
        <f aca="false">SUM(B6:I6)</f>
        <v>0</v>
      </c>
    </row>
    <row r="7" customFormat="false" ht="15" hidden="false" customHeight="false" outlineLevel="0" collapsed="false">
      <c r="A7" s="25" t="s">
        <v>84</v>
      </c>
      <c r="B7" s="25" t="n">
        <f aca="false">COUNTIFS([1]SurveyDATA!$VX$1:$VX$1048576,"*SAMPLING*",[1]SurveyDATA!$VW$1:$VW$1048576,"*ISF*",[1]SurveyDATA!$KI$1:$KI$1048576,"*RELOC*",[1]SurveyDATA!$E$1:$E$1048576,"*BOCAUE*",[1]SurveyDATA!$JR$1:$JR$1048576,"*NEED*",[1]SurveyDATA!KZ$1:KZ$1048576,"x")</f>
        <v>0</v>
      </c>
      <c r="C7" s="25" t="n">
        <f aca="false">COUNTIFS([1]SurveyDATA!$VX$1:$VX$1048576,"*SAMPLING*",[1]SurveyDATA!$VW$1:$VW$1048576,"*ISF*",[1]SurveyDATA!$KI$1:$KI$1048576,"*RELOC*",[1]SurveyDATA!$E$1:$E$1048576,"*BOCAUE*",[1]SurveyDATA!$JR$1:$JR$1048576,"*NEED*",[1]SurveyDATA!LA$1:LA$1048576,"x")</f>
        <v>0</v>
      </c>
      <c r="D7" s="25" t="n">
        <f aca="false">COUNTIFS([1]SurveyDATA!$VX$1:$VX$1048576,"*SAMPLING*",[1]SurveyDATA!$VW$1:$VW$1048576,"*ISF*",[1]SurveyDATA!$KI$1:$KI$1048576,"*RELOC*",[1]SurveyDATA!$E$1:$E$1048576,"*BOCAUE*",[1]SurveyDATA!$JR$1:$JR$1048576,"*NEED*",[1]SurveyDATA!LB$1:LB$1048576,"x")</f>
        <v>0</v>
      </c>
      <c r="E7" s="25" t="n">
        <f aca="false">COUNTIFS([1]SurveyDATA!$VX$1:$VX$1048576,"*SAMPLING*",[1]SurveyDATA!$VW$1:$VW$1048576,"*ISF*",[1]SurveyDATA!$KI$1:$KI$1048576,"*RELOC*",[1]SurveyDATA!$E$1:$E$1048576,"*BOCAUE*",[1]SurveyDATA!$JR$1:$JR$1048576,"*NEED*",[1]SurveyDATA!LC$1:LC$1048576,"x")</f>
        <v>0</v>
      </c>
      <c r="F7" s="25" t="n">
        <f aca="false">COUNTIFS([1]SurveyDATA!$VX$1:$VX$1048576,"*SAMPLING*",[1]SurveyDATA!$VW$1:$VW$1048576,"*ISF*",[1]SurveyDATA!$KI$1:$KI$1048576,"*RELOC*",[1]SurveyDATA!$E$1:$E$1048576,"*BOCAUE*",[1]SurveyDATA!$JR$1:$JR$1048576,"*NEED*",[1]SurveyDATA!LD$1:LD$1048576,"x")</f>
        <v>0</v>
      </c>
      <c r="G7" s="25" t="n">
        <f aca="false">COUNTIFS([1]SurveyDATA!$VX$1:$VX$1048576,"*SAMPLING*",[1]SurveyDATA!$VW$1:$VW$1048576,"*ISF*",[1]SurveyDATA!$KI$1:$KI$1048576,"*RELOC*",[1]SurveyDATA!$E$1:$E$1048576,"*BOCAUE*",[1]SurveyDATA!$JR$1:$JR$1048576,"*NEED*",[1]SurveyDATA!LE$1:LE$1048576,"x")</f>
        <v>0</v>
      </c>
      <c r="H7" s="25" t="n">
        <f aca="false">COUNTIFS([1]SurveyDATA!$VX$1:$VX$1048576,"*SAMPLING*",[1]SurveyDATA!$VW$1:$VW$1048576,"*ISF*",[1]SurveyDATA!$KI$1:$KI$1048576,"*RELOC*",[1]SurveyDATA!$E$1:$E$1048576,"*BOCAUE*",[1]SurveyDATA!$JR$1:$JR$1048576,"*NEED*",[1]SurveyDATA!LF$1:LF$1048576,"x")</f>
        <v>0</v>
      </c>
      <c r="I7" s="25" t="n">
        <f aca="false">COUNTIFS([1]SurveyDATA!$VX$1:$VX$1048576,"*SAMPLING*",[1]SurveyDATA!$VW$1:$VW$1048576,"*ISF*",[1]SurveyDATA!$KI$1:$KI$1048576,"*RELOC*",[1]SurveyDATA!$E$1:$E$1048576,"*BOCAUE*",[1]SurveyDATA!$JR$1:$JR$1048576,"*NEED*",[1]SurveyDATA!LG$1:LG$1048576,"x")</f>
        <v>0</v>
      </c>
      <c r="J7" s="25"/>
      <c r="K7" s="25" t="n">
        <f aca="false">SUM(B7:I7)</f>
        <v>0</v>
      </c>
    </row>
    <row r="8" customFormat="false" ht="15" hidden="false" customHeight="false" outlineLevel="0" collapsed="false">
      <c r="A8" s="25" t="s">
        <v>85</v>
      </c>
      <c r="B8" s="25" t="n">
        <f aca="false">COUNTIFS([1]SurveyDATA!$VX$1:$VX$1048576,"*SAMPLING*",[1]SurveyDATA!$VW$1:$VW$1048576,"*ISF*",[1]SurveyDATA!$KI$1:$KI$1048576,"*RELOC*",[1]SurveyDATA!$E$1:$E$1048576,"*MARILAO*",[1]SurveyDATA!$JR$1:$JR$1048576,"*NEED*",[1]SurveyDATA!KZ$1:KZ$1048576,"x")</f>
        <v>0</v>
      </c>
      <c r="C8" s="25" t="n">
        <f aca="false">COUNTIFS([1]SurveyDATA!$VX$1:$VX$1048576,"*SAMPLING*",[1]SurveyDATA!$VW$1:$VW$1048576,"*ISF*",[1]SurveyDATA!$KI$1:$KI$1048576,"*RELOC*",[1]SurveyDATA!$E$1:$E$1048576,"*MARILAO*",[1]SurveyDATA!$JR$1:$JR$1048576,"*NEED*",[1]SurveyDATA!LA$1:LA$1048576,"x")</f>
        <v>0</v>
      </c>
      <c r="D8" s="25" t="n">
        <f aca="false">COUNTIFS([1]SurveyDATA!$VX$1:$VX$1048576,"*SAMPLING*",[1]SurveyDATA!$VW$1:$VW$1048576,"*ISF*",[1]SurveyDATA!$KI$1:$KI$1048576,"*RELOC*",[1]SurveyDATA!$E$1:$E$1048576,"*MARILAO*",[1]SurveyDATA!$JR$1:$JR$1048576,"*NEED*",[1]SurveyDATA!LB$1:LB$1048576,"x")</f>
        <v>0</v>
      </c>
      <c r="E8" s="25" t="n">
        <f aca="false">COUNTIFS([1]SurveyDATA!$VX$1:$VX$1048576,"*SAMPLING*",[1]SurveyDATA!$VW$1:$VW$1048576,"*ISF*",[1]SurveyDATA!$KI$1:$KI$1048576,"*RELOC*",[1]SurveyDATA!$E$1:$E$1048576,"*MARILAO*",[1]SurveyDATA!$JR$1:$JR$1048576,"*NEED*",[1]SurveyDATA!LC$1:LC$1048576,"x")</f>
        <v>0</v>
      </c>
      <c r="F8" s="25" t="n">
        <f aca="false">COUNTIFS([1]SurveyDATA!$VX$1:$VX$1048576,"*SAMPLING*",[1]SurveyDATA!$VW$1:$VW$1048576,"*ISF*",[1]SurveyDATA!$KI$1:$KI$1048576,"*RELOC*",[1]SurveyDATA!$E$1:$E$1048576,"*MARILAO*",[1]SurveyDATA!$JR$1:$JR$1048576,"*NEED*",[1]SurveyDATA!LD$1:LD$1048576,"x")</f>
        <v>0</v>
      </c>
      <c r="G8" s="25" t="n">
        <f aca="false">COUNTIFS([1]SurveyDATA!$VX$1:$VX$1048576,"*SAMPLING*",[1]SurveyDATA!$VW$1:$VW$1048576,"*ISF*",[1]SurveyDATA!$KI$1:$KI$1048576,"*RELOC*",[1]SurveyDATA!$E$1:$E$1048576,"*MARILAO*",[1]SurveyDATA!$JR$1:$JR$1048576,"*NEED*",[1]SurveyDATA!LE$1:LE$1048576,"x")</f>
        <v>0</v>
      </c>
      <c r="H8" s="25" t="n">
        <f aca="false">COUNTIFS([1]SurveyDATA!$VX$1:$VX$1048576,"*SAMPLING*",[1]SurveyDATA!$VW$1:$VW$1048576,"*ISF*",[1]SurveyDATA!$KI$1:$KI$1048576,"*RELOC*",[1]SurveyDATA!$E$1:$E$1048576,"*MARILAO*",[1]SurveyDATA!$JR$1:$JR$1048576,"*NEED*",[1]SurveyDATA!LF$1:LF$1048576,"x")</f>
        <v>0</v>
      </c>
      <c r="I8" s="25" t="n">
        <f aca="false">COUNTIFS([1]SurveyDATA!$VX$1:$VX$1048576,"*SAMPLING*",[1]SurveyDATA!$VW$1:$VW$1048576,"*ISF*",[1]SurveyDATA!$KI$1:$KI$1048576,"*RELOC*",[1]SurveyDATA!$E$1:$E$1048576,"*MARILAO*",[1]SurveyDATA!$JR$1:$JR$1048576,"*NEED*",[1]SurveyDATA!LG$1:LG$1048576,"x")</f>
        <v>0</v>
      </c>
      <c r="J8" s="25"/>
      <c r="K8" s="25" t="n">
        <f aca="false">SUM(B8:I8)</f>
        <v>0</v>
      </c>
    </row>
    <row r="9" customFormat="false" ht="25.5" hidden="false" customHeight="false" outlineLevel="0" collapsed="false">
      <c r="A9" s="25" t="s">
        <v>86</v>
      </c>
      <c r="B9" s="25" t="n">
        <f aca="false">COUNTIFS([1]SurveyDATA!$VX$1:$VX$1048576,"*SAMPLING*",[1]SurveyDATA!$VW$1:$VW$1048576,"*ISF*",[1]SurveyDATA!$KI$1:$KI$1048576,"*RELOC*",[1]SurveyDATA!$E$1:$E$1048576,"*MEYCAUAYAN*",[1]SurveyDATA!$JR$1:$JR$1048576,"*NEED*",[1]SurveyDATA!KZ$1:KZ$1048576,"x")</f>
        <v>0</v>
      </c>
      <c r="C9" s="25" t="n">
        <f aca="false">COUNTIFS([1]SurveyDATA!$VX$1:$VX$1048576,"*SAMPLING*",[1]SurveyDATA!$VW$1:$VW$1048576,"*ISF*",[1]SurveyDATA!$KI$1:$KI$1048576,"*RELOC*",[1]SurveyDATA!$E$1:$E$1048576,"*MEYCAUAYAN*",[1]SurveyDATA!$JR$1:$JR$1048576,"*NEED*",[1]SurveyDATA!LA$1:LA$1048576,"x")</f>
        <v>0</v>
      </c>
      <c r="D9" s="25" t="n">
        <f aca="false">COUNTIFS([1]SurveyDATA!$VX$1:$VX$1048576,"*SAMPLING*",[1]SurveyDATA!$VW$1:$VW$1048576,"*ISF*",[1]SurveyDATA!$KI$1:$KI$1048576,"*RELOC*",[1]SurveyDATA!$E$1:$E$1048576,"*MEYCAUAYAN*",[1]SurveyDATA!$JR$1:$JR$1048576,"*NEED*",[1]SurveyDATA!LB$1:LB$1048576,"x")</f>
        <v>0</v>
      </c>
      <c r="E9" s="25" t="n">
        <f aca="false">COUNTIFS([1]SurveyDATA!$VX$1:$VX$1048576,"*SAMPLING*",[1]SurveyDATA!$VW$1:$VW$1048576,"*ISF*",[1]SurveyDATA!$KI$1:$KI$1048576,"*RELOC*",[1]SurveyDATA!$E$1:$E$1048576,"*MEYCAUAYAN*",[1]SurveyDATA!$JR$1:$JR$1048576,"*NEED*",[1]SurveyDATA!LC$1:LC$1048576,"x")</f>
        <v>0</v>
      </c>
      <c r="F9" s="25" t="n">
        <f aca="false">COUNTIFS([1]SurveyDATA!$VX$1:$VX$1048576,"*SAMPLING*",[1]SurveyDATA!$VW$1:$VW$1048576,"*ISF*",[1]SurveyDATA!$KI$1:$KI$1048576,"*RELOC*",[1]SurveyDATA!$E$1:$E$1048576,"*MEYCAUAYAN*",[1]SurveyDATA!$JR$1:$JR$1048576,"*NEED*",[1]SurveyDATA!LD$1:LD$1048576,"x")</f>
        <v>0</v>
      </c>
      <c r="G9" s="25" t="n">
        <f aca="false">COUNTIFS([1]SurveyDATA!$VX$1:$VX$1048576,"*SAMPLING*",[1]SurveyDATA!$VW$1:$VW$1048576,"*ISF*",[1]SurveyDATA!$KI$1:$KI$1048576,"*RELOC*",[1]SurveyDATA!$E$1:$E$1048576,"*MEYCAUAYAN*",[1]SurveyDATA!$JR$1:$JR$1048576,"*NEED*",[1]SurveyDATA!LE$1:LE$1048576,"x")</f>
        <v>0</v>
      </c>
      <c r="H9" s="25" t="n">
        <f aca="false">COUNTIFS([1]SurveyDATA!$VX$1:$VX$1048576,"*SAMPLING*",[1]SurveyDATA!$VW$1:$VW$1048576,"*ISF*",[1]SurveyDATA!$KI$1:$KI$1048576,"*RELOC*",[1]SurveyDATA!$E$1:$E$1048576,"*MEYCAUAYAN*",[1]SurveyDATA!$JR$1:$JR$1048576,"*NEED*",[1]SurveyDATA!LF$1:LF$1048576,"x")</f>
        <v>0</v>
      </c>
      <c r="I9" s="25" t="n">
        <f aca="false">COUNTIFS([1]SurveyDATA!$VX$1:$VX$1048576,"*SAMPLING*",[1]SurveyDATA!$VW$1:$VW$1048576,"*ISF*",[1]SurveyDATA!$KI$1:$KI$1048576,"*RELOC*",[1]SurveyDATA!$E$1:$E$1048576,"*MEYCAUAYAN*",[1]SurveyDATA!$JR$1:$JR$1048576,"*NEED*",[1]SurveyDATA!LG$1:LG$1048576,"x")</f>
        <v>0</v>
      </c>
      <c r="J9" s="25"/>
      <c r="K9" s="25" t="n">
        <f aca="false">SUM(B9:I9)</f>
        <v>0</v>
      </c>
    </row>
    <row r="10" customFormat="false" ht="15" hidden="false" customHeight="false" outlineLevel="0" collapsed="false">
      <c r="A10" s="25" t="s">
        <v>87</v>
      </c>
      <c r="B10" s="25" t="n">
        <f aca="false">COUNTIFS([1]SurveyDATA!$VX$1:$VX$1048576,"*SAMPLING*",[1]SurveyDATA!$VW$1:$VW$1048576,"*ISF*",[1]SurveyDATA!$KI$1:$KI$1048576,"*RELOC*",[1]SurveyDATA!$E$1:$E$1048576,"*VALENZUELA*",[1]SurveyDATA!$JR$1:$JR$1048576,"*NEED*",[1]SurveyDATA!KZ$1:KZ$1048576,"x")</f>
        <v>0</v>
      </c>
      <c r="C10" s="25" t="n">
        <f aca="false">COUNTIFS([1]SurveyDATA!$VX$1:$VX$1048576,"*SAMPLING*",[1]SurveyDATA!$VW$1:$VW$1048576,"*ISF*",[1]SurveyDATA!$KI$1:$KI$1048576,"*RELOC*",[1]SurveyDATA!$E$1:$E$1048576,"*VALENZUELA*",[1]SurveyDATA!$JR$1:$JR$1048576,"*NEED*",[1]SurveyDATA!LA$1:LA$1048576,"x")</f>
        <v>0</v>
      </c>
      <c r="D10" s="25" t="n">
        <f aca="false">COUNTIFS([1]SurveyDATA!$VX$1:$VX$1048576,"*SAMPLING*",[1]SurveyDATA!$VW$1:$VW$1048576,"*ISF*",[1]SurveyDATA!$KI$1:$KI$1048576,"*RELOC*",[1]SurveyDATA!$E$1:$E$1048576,"*VALENZUELA*",[1]SurveyDATA!$JR$1:$JR$1048576,"*NEED*",[1]SurveyDATA!LB$1:LB$1048576,"x")</f>
        <v>0</v>
      </c>
      <c r="E10" s="25" t="n">
        <f aca="false">COUNTIFS([1]SurveyDATA!$VX$1:$VX$1048576,"*SAMPLING*",[1]SurveyDATA!$VW$1:$VW$1048576,"*ISF*",[1]SurveyDATA!$KI$1:$KI$1048576,"*RELOC*",[1]SurveyDATA!$E$1:$E$1048576,"*VALENZUELA*",[1]SurveyDATA!$JR$1:$JR$1048576,"*NEED*",[1]SurveyDATA!LC$1:LC$1048576,"x")</f>
        <v>0</v>
      </c>
      <c r="F10" s="25" t="n">
        <f aca="false">COUNTIFS([1]SurveyDATA!$VX$1:$VX$1048576,"*SAMPLING*",[1]SurveyDATA!$VW$1:$VW$1048576,"*ISF*",[1]SurveyDATA!$KI$1:$KI$1048576,"*RELOC*",[1]SurveyDATA!$E$1:$E$1048576,"*VALENZUELA*",[1]SurveyDATA!$JR$1:$JR$1048576,"*NEED*",[1]SurveyDATA!LD$1:LD$1048576,"x")</f>
        <v>0</v>
      </c>
      <c r="G10" s="25" t="n">
        <f aca="false">COUNTIFS([1]SurveyDATA!$VX$1:$VX$1048576,"*SAMPLING*",[1]SurveyDATA!$VW$1:$VW$1048576,"*ISF*",[1]SurveyDATA!$KI$1:$KI$1048576,"*RELOC*",[1]SurveyDATA!$E$1:$E$1048576,"*VALENZUELA*",[1]SurveyDATA!$JR$1:$JR$1048576,"*NEED*",[1]SurveyDATA!LE$1:LE$1048576,"x")</f>
        <v>0</v>
      </c>
      <c r="H10" s="25" t="n">
        <f aca="false">COUNTIFS([1]SurveyDATA!$VX$1:$VX$1048576,"*SAMPLING*",[1]SurveyDATA!$VW$1:$VW$1048576,"*ISF*",[1]SurveyDATA!$KI$1:$KI$1048576,"*RELOC*",[1]SurveyDATA!$E$1:$E$1048576,"*VALENZUELA*",[1]SurveyDATA!$JR$1:$JR$1048576,"*NEED*",[1]SurveyDATA!LF$1:LF$1048576,"x")</f>
        <v>0</v>
      </c>
      <c r="I10" s="25" t="n">
        <f aca="false">COUNTIFS([1]SurveyDATA!$VX$1:$VX$1048576,"*SAMPLING*",[1]SurveyDATA!$VW$1:$VW$1048576,"*ISF*",[1]SurveyDATA!$KI$1:$KI$1048576,"*RELOC*",[1]SurveyDATA!$E$1:$E$1048576,"*VALENZUELA*",[1]SurveyDATA!$JR$1:$JR$1048576,"*NEED*",[1]SurveyDATA!LG$1:LG$1048576,"x")</f>
        <v>0</v>
      </c>
      <c r="J10" s="25"/>
      <c r="K10" s="25" t="n">
        <f aca="false">SUM(B10:I10)</f>
        <v>0</v>
      </c>
    </row>
    <row r="11" customFormat="false" ht="15" hidden="false" customHeight="false" outlineLevel="0" collapsed="false">
      <c r="A11" s="25" t="s">
        <v>90</v>
      </c>
      <c r="B11" s="25" t="n">
        <f aca="false">COUNTIFS([1]SurveyDATA!$VX$1:$VX$1048576,"*SAMPLING*",[1]SurveyDATA!$VW$1:$VW$1048576,"*ISF*",[1]SurveyDATA!$KI$1:$KI$1048576,"*RELOC*",[1]SurveyDATA!$E$1:$E$1048576,"*CALOOCAN*",[1]SurveyDATA!$JR$1:$JR$1048576,"*NEED*",[1]SurveyDATA!KZ$1:KZ$1048576,"x")</f>
        <v>0</v>
      </c>
      <c r="C11" s="25" t="n">
        <f aca="false">COUNTIFS([1]SurveyDATA!$VX$1:$VX$1048576,"*SAMPLING*",[1]SurveyDATA!$VW$1:$VW$1048576,"*ISF*",[1]SurveyDATA!$KI$1:$KI$1048576,"*RELOC*",[1]SurveyDATA!$E$1:$E$1048576,"*CALOOCAN*",[1]SurveyDATA!$JR$1:$JR$1048576,"*NEED*",[1]SurveyDATA!LA$1:LA$1048576,"x")</f>
        <v>0</v>
      </c>
      <c r="D11" s="25" t="n">
        <f aca="false">COUNTIFS([1]SurveyDATA!$VX$1:$VX$1048576,"*SAMPLING*",[1]SurveyDATA!$VW$1:$VW$1048576,"*ISF*",[1]SurveyDATA!$KI$1:$KI$1048576,"*RELOC*",[1]SurveyDATA!$E$1:$E$1048576,"*CALOOCAN*",[1]SurveyDATA!$JR$1:$JR$1048576,"*NEED*",[1]SurveyDATA!LB$1:LB$1048576,"x")</f>
        <v>0</v>
      </c>
      <c r="E11" s="25" t="n">
        <f aca="false">COUNTIFS([1]SurveyDATA!$VX$1:$VX$1048576,"*SAMPLING*",[1]SurveyDATA!$VW$1:$VW$1048576,"*ISF*",[1]SurveyDATA!$KI$1:$KI$1048576,"*RELOC*",[1]SurveyDATA!$E$1:$E$1048576,"*CALOOCAN*",[1]SurveyDATA!$JR$1:$JR$1048576,"*NEED*",[1]SurveyDATA!LC$1:LC$1048576,"x")</f>
        <v>0</v>
      </c>
      <c r="F11" s="25" t="n">
        <f aca="false">COUNTIFS([1]SurveyDATA!$VX$1:$VX$1048576,"*SAMPLING*",[1]SurveyDATA!$VW$1:$VW$1048576,"*ISF*",[1]SurveyDATA!$KI$1:$KI$1048576,"*RELOC*",[1]SurveyDATA!$E$1:$E$1048576,"*CALOOCAN*",[1]SurveyDATA!$JR$1:$JR$1048576,"*NEED*",[1]SurveyDATA!LD$1:LD$1048576,"x")</f>
        <v>0</v>
      </c>
      <c r="G11" s="25" t="n">
        <f aca="false">COUNTIFS([1]SurveyDATA!$VX$1:$VX$1048576,"*SAMPLING*",[1]SurveyDATA!$VW$1:$VW$1048576,"*ISF*",[1]SurveyDATA!$KI$1:$KI$1048576,"*RELOC*",[1]SurveyDATA!$E$1:$E$1048576,"*CALOOCAN*",[1]SurveyDATA!$JR$1:$JR$1048576,"*NEED*",[1]SurveyDATA!LE$1:LE$1048576,"x")</f>
        <v>0</v>
      </c>
      <c r="H11" s="25" t="n">
        <f aca="false">COUNTIFS([1]SurveyDATA!$VX$1:$VX$1048576,"*SAMPLING*",[1]SurveyDATA!$VW$1:$VW$1048576,"*ISF*",[1]SurveyDATA!$KI$1:$KI$1048576,"*RELOC*",[1]SurveyDATA!$E$1:$E$1048576,"*CALOOCAN*",[1]SurveyDATA!$JR$1:$JR$1048576,"*NEED*",[1]SurveyDATA!LF$1:LF$1048576,"x")</f>
        <v>0</v>
      </c>
      <c r="I11" s="25" t="n">
        <f aca="false">COUNTIFS([1]SurveyDATA!$VX$1:$VX$1048576,"*SAMPLING*",[1]SurveyDATA!$VW$1:$VW$1048576,"*ISF*",[1]SurveyDATA!$KI$1:$KI$1048576,"*RELOC*",[1]SurveyDATA!$E$1:$E$1048576,"*CALOOCAN*",[1]SurveyDATA!$JR$1:$JR$1048576,"*NEED*",[1]SurveyDATA!LG$1:LG$1048576,"x")</f>
        <v>0</v>
      </c>
      <c r="J11" s="25"/>
      <c r="K11" s="25" t="n">
        <f aca="false">SUM(B11:I11)</f>
        <v>0</v>
      </c>
    </row>
    <row r="12" customFormat="false" ht="15" hidden="false" customHeight="false" outlineLevel="0" collapsed="false">
      <c r="A12" s="25" t="s">
        <v>100</v>
      </c>
      <c r="B12" s="25" t="n">
        <f aca="false">COUNTIFS([1]SurveyDATA!$VX$1:$VX$1048576,"*SAMPLING*",[1]SurveyDATA!$VW$1:$VW$1048576,"*ISF*",[1]SurveyDATA!$KI$1:$KI$1048576,"*RELOC*",[1]SurveyDATA!$E$1:$E$1048576,"*MANILA*",[1]SurveyDATA!$JR$1:$JR$1048576,"*NEED*",[1]SurveyDATA!KZ$1:KZ$1048576,"x")</f>
        <v>0</v>
      </c>
      <c r="C12" s="25" t="n">
        <f aca="false">COUNTIFS([1]SurveyDATA!$VX$1:$VX$1048576,"*SAMPLING*",[1]SurveyDATA!$VW$1:$VW$1048576,"*ISF*",[1]SurveyDATA!$KI$1:$KI$1048576,"*RELOC*",[1]SurveyDATA!$E$1:$E$1048576,"*MANILA*",[1]SurveyDATA!$JR$1:$JR$1048576,"*NEED*",[1]SurveyDATA!LA$1:LA$1048576,"x")</f>
        <v>0</v>
      </c>
      <c r="D12" s="25" t="n">
        <f aca="false">COUNTIFS([1]SurveyDATA!$VX$1:$VX$1048576,"*SAMPLING*",[1]SurveyDATA!$VW$1:$VW$1048576,"*ISF*",[1]SurveyDATA!$KI$1:$KI$1048576,"*RELOC*",[1]SurveyDATA!$E$1:$E$1048576,"*MANILA*",[1]SurveyDATA!$JR$1:$JR$1048576,"*NEED*",[1]SurveyDATA!LB$1:LB$1048576,"x")</f>
        <v>0</v>
      </c>
      <c r="E12" s="25" t="n">
        <f aca="false">COUNTIFS([1]SurveyDATA!$VX$1:$VX$1048576,"*SAMPLING*",[1]SurveyDATA!$VW$1:$VW$1048576,"*ISF*",[1]SurveyDATA!$KI$1:$KI$1048576,"*RELOC*",[1]SurveyDATA!$E$1:$E$1048576,"*MANILA*",[1]SurveyDATA!$JR$1:$JR$1048576,"*NEED*",[1]SurveyDATA!LC$1:LC$1048576,"x")</f>
        <v>0</v>
      </c>
      <c r="F12" s="25" t="n">
        <f aca="false">COUNTIFS([1]SurveyDATA!$VX$1:$VX$1048576,"*SAMPLING*",[1]SurveyDATA!$VW$1:$VW$1048576,"*ISF*",[1]SurveyDATA!$KI$1:$KI$1048576,"*RELOC*",[1]SurveyDATA!$E$1:$E$1048576,"*MANILA*",[1]SurveyDATA!$JR$1:$JR$1048576,"*NEED*",[1]SurveyDATA!LD$1:LD$1048576,"x")</f>
        <v>0</v>
      </c>
      <c r="G12" s="25" t="n">
        <f aca="false">COUNTIFS([1]SurveyDATA!$VX$1:$VX$1048576,"*SAMPLING*",[1]SurveyDATA!$VW$1:$VW$1048576,"*ISF*",[1]SurveyDATA!$KI$1:$KI$1048576,"*RELOC*",[1]SurveyDATA!$E$1:$E$1048576,"*MANILA*",[1]SurveyDATA!$JR$1:$JR$1048576,"*NEED*",[1]SurveyDATA!LE$1:LE$1048576,"x")</f>
        <v>0</v>
      </c>
      <c r="H12" s="25" t="n">
        <f aca="false">COUNTIFS([1]SurveyDATA!$VX$1:$VX$1048576,"*SAMPLING*",[1]SurveyDATA!$VW$1:$VW$1048576,"*ISF*",[1]SurveyDATA!$KI$1:$KI$1048576,"*RELOC*",[1]SurveyDATA!$E$1:$E$1048576,"*MANILA*",[1]SurveyDATA!$JR$1:$JR$1048576,"*NEED*",[1]SurveyDATA!LF$1:LF$1048576,"x")</f>
        <v>0</v>
      </c>
      <c r="I12" s="25" t="n">
        <f aca="false">COUNTIFS([1]SurveyDATA!$VX$1:$VX$1048576,"*SAMPLING*",[1]SurveyDATA!$VW$1:$VW$1048576,"*ISF*",[1]SurveyDATA!$KI$1:$KI$1048576,"*RELOC*",[1]SurveyDATA!$E$1:$E$1048576,"*MANILA*",[1]SurveyDATA!$JR$1:$JR$1048576,"*NEED*",[1]SurveyDATA!LG$1:LG$1048576,"x")</f>
        <v>0</v>
      </c>
      <c r="J12" s="25"/>
      <c r="K12" s="25" t="n">
        <f aca="false">SUM(B12:I12)</f>
        <v>0</v>
      </c>
    </row>
    <row r="13" customFormat="false" ht="15" hidden="false" customHeight="false" outlineLevel="0" collapsed="false">
      <c r="A13" s="32" t="s">
        <v>12</v>
      </c>
      <c r="B13" s="26" t="n">
        <f aca="false">SUM(B4:B12)</f>
        <v>0</v>
      </c>
      <c r="C13" s="26" t="n">
        <f aca="false">SUM(C4:C12)</f>
        <v>0</v>
      </c>
      <c r="D13" s="26" t="n">
        <f aca="false">SUM(D4:D12)</f>
        <v>0</v>
      </c>
      <c r="E13" s="26" t="n">
        <f aca="false">SUM(E4:E12)</f>
        <v>0</v>
      </c>
      <c r="F13" s="26" t="n">
        <f aca="false">SUM(F4:F12)</f>
        <v>0</v>
      </c>
      <c r="G13" s="26" t="n">
        <f aca="false">SUM(G4:G12)</f>
        <v>0</v>
      </c>
      <c r="H13" s="26" t="n">
        <f aca="false">SUM(H4:H12)</f>
        <v>0</v>
      </c>
      <c r="I13" s="26" t="n">
        <f aca="false">SUM(I4:I12)</f>
        <v>0</v>
      </c>
      <c r="J13" s="26"/>
      <c r="K13" s="26" t="n">
        <f aca="false">SUM(K4:K12)</f>
        <v>0</v>
      </c>
    </row>
    <row r="14" customFormat="false" ht="25.5" hidden="false" customHeight="false" outlineLevel="0" collapsed="false">
      <c r="A14" s="29" t="s">
        <v>513</v>
      </c>
      <c r="B14" s="221" t="e">
        <f aca="false">B13/$K13</f>
        <v>#DIV/0!</v>
      </c>
      <c r="C14" s="221" t="e">
        <f aca="false">C13/$K13</f>
        <v>#DIV/0!</v>
      </c>
      <c r="D14" s="221" t="e">
        <f aca="false">D13/$K13</f>
        <v>#DIV/0!</v>
      </c>
      <c r="E14" s="221" t="e">
        <f aca="false">E13/$K13</f>
        <v>#DIV/0!</v>
      </c>
      <c r="F14" s="221" t="e">
        <f aca="false">F13/$K13</f>
        <v>#DIV/0!</v>
      </c>
      <c r="G14" s="221" t="e">
        <f aca="false">G13/$K13</f>
        <v>#DIV/0!</v>
      </c>
      <c r="H14" s="221" t="e">
        <f aca="false">H13/$K13</f>
        <v>#DIV/0!</v>
      </c>
      <c r="I14" s="221" t="e">
        <f aca="false">I13/$K13</f>
        <v>#DIV/0!</v>
      </c>
      <c r="J14" s="221"/>
      <c r="K14" s="221" t="e">
        <f aca="false">SUM(B14:I14)</f>
        <v>#DIV/0!</v>
      </c>
    </row>
    <row r="16" customFormat="false" ht="15" hidden="false" customHeight="false" outlineLevel="0" collapsed="false">
      <c r="A16" s="0" t="s">
        <v>441</v>
      </c>
    </row>
    <row r="17" customFormat="false" ht="15" hidden="false" customHeight="false" outlineLevel="0" collapsed="false">
      <c r="A17" s="0" t="s">
        <v>514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outlineLevelRow="0" outlineLevelCol="0"/>
  <cols>
    <col collapsed="false" customWidth="true" hidden="false" outlineLevel="0" max="1" min="1" style="0" width="13.86"/>
    <col collapsed="false" customWidth="true" hidden="false" outlineLevel="0" max="2" min="2" style="0" width="17.42"/>
    <col collapsed="false" customWidth="true" hidden="false" outlineLevel="0" max="1025" min="3" style="0" width="8.67"/>
  </cols>
  <sheetData>
    <row r="1" customFormat="false" ht="15" hidden="false" customHeight="false" outlineLevel="0" collapsed="false">
      <c r="A1" s="35" t="s">
        <v>119</v>
      </c>
      <c r="B1" s="35"/>
      <c r="C1" s="35"/>
      <c r="D1" s="35"/>
      <c r="E1" s="35"/>
      <c r="F1" s="35"/>
      <c r="G1" s="35"/>
      <c r="H1" s="35"/>
    </row>
    <row r="2" customFormat="false" ht="15" hidden="false" customHeight="false" outlineLevel="0" collapsed="false">
      <c r="A2" s="36"/>
      <c r="B2" s="35" t="s">
        <v>1</v>
      </c>
      <c r="C2" s="37" t="s">
        <v>120</v>
      </c>
      <c r="D2" s="37"/>
      <c r="E2" s="37"/>
      <c r="F2" s="37"/>
      <c r="G2" s="37"/>
      <c r="H2" s="37"/>
    </row>
    <row r="3" customFormat="false" ht="25.5" hidden="false" customHeight="false" outlineLevel="0" collapsed="false">
      <c r="A3" s="38" t="s">
        <v>2</v>
      </c>
      <c r="B3" s="39" t="s">
        <v>121</v>
      </c>
      <c r="C3" s="40"/>
      <c r="D3" s="41"/>
      <c r="E3" s="42" t="s">
        <v>122</v>
      </c>
      <c r="F3" s="41"/>
      <c r="G3" s="43"/>
      <c r="H3" s="44" t="s">
        <v>12</v>
      </c>
    </row>
    <row r="4" customFormat="false" ht="15" hidden="false" customHeight="false" outlineLevel="0" collapsed="false">
      <c r="A4" s="45"/>
      <c r="B4" s="45"/>
      <c r="C4" s="46" t="s">
        <v>123</v>
      </c>
      <c r="D4" s="47" t="s">
        <v>124</v>
      </c>
      <c r="E4" s="47" t="s">
        <v>125</v>
      </c>
      <c r="F4" s="46" t="s">
        <v>126</v>
      </c>
      <c r="G4" s="46" t="s">
        <v>127</v>
      </c>
      <c r="H4" s="45"/>
    </row>
    <row r="5" customFormat="false" ht="15" hidden="false" customHeight="false" outlineLevel="0" collapsed="false">
      <c r="A5" s="24" t="s">
        <v>81</v>
      </c>
      <c r="B5" s="25" t="s">
        <v>18</v>
      </c>
      <c r="C5" s="7" t="n">
        <v>0</v>
      </c>
      <c r="D5" s="7" t="n">
        <v>0</v>
      </c>
      <c r="E5" s="7" t="n">
        <v>0</v>
      </c>
      <c r="F5" s="7" t="n">
        <v>0</v>
      </c>
      <c r="G5" s="7" t="n">
        <v>0</v>
      </c>
      <c r="H5" s="7" t="n">
        <v>0</v>
      </c>
    </row>
    <row r="6" customFormat="false" ht="15" hidden="false" customHeight="false" outlineLevel="0" collapsed="false">
      <c r="A6" s="26"/>
      <c r="B6" s="25" t="s">
        <v>19</v>
      </c>
      <c r="C6" s="7" t="n">
        <v>1</v>
      </c>
      <c r="D6" s="7" t="n">
        <v>1</v>
      </c>
      <c r="E6" s="7" t="n">
        <v>0</v>
      </c>
      <c r="F6" s="7" t="n">
        <v>1</v>
      </c>
      <c r="G6" s="7" t="n">
        <v>1</v>
      </c>
      <c r="H6" s="7" t="n">
        <v>4</v>
      </c>
    </row>
    <row r="7" customFormat="false" ht="15" hidden="false" customHeight="false" outlineLevel="0" collapsed="false">
      <c r="A7" s="26"/>
      <c r="B7" s="25" t="s">
        <v>20</v>
      </c>
      <c r="C7" s="7" t="n">
        <v>0</v>
      </c>
      <c r="D7" s="7" t="n">
        <v>0</v>
      </c>
      <c r="E7" s="7" t="n">
        <v>0</v>
      </c>
      <c r="F7" s="7" t="n">
        <v>0</v>
      </c>
      <c r="G7" s="7" t="n">
        <v>0</v>
      </c>
      <c r="H7" s="7" t="n">
        <v>0</v>
      </c>
    </row>
    <row r="8" customFormat="false" ht="15" hidden="false" customHeight="false" outlineLevel="0" collapsed="false">
      <c r="A8" s="26"/>
      <c r="B8" s="25" t="s">
        <v>21</v>
      </c>
      <c r="C8" s="7" t="n">
        <v>0</v>
      </c>
      <c r="D8" s="7" t="n">
        <v>1</v>
      </c>
      <c r="E8" s="7" t="n">
        <v>0</v>
      </c>
      <c r="F8" s="7" t="n">
        <v>1</v>
      </c>
      <c r="G8" s="7" t="n">
        <v>0</v>
      </c>
      <c r="H8" s="7" t="n">
        <v>2</v>
      </c>
    </row>
    <row r="9" customFormat="false" ht="15" hidden="false" customHeight="false" outlineLevel="0" collapsed="false">
      <c r="A9" s="27"/>
      <c r="B9" s="28" t="s">
        <v>22</v>
      </c>
      <c r="C9" s="48" t="n">
        <v>1</v>
      </c>
      <c r="D9" s="48" t="n">
        <v>2</v>
      </c>
      <c r="E9" s="48" t="n">
        <v>0</v>
      </c>
      <c r="F9" s="48" t="n">
        <v>2</v>
      </c>
      <c r="G9" s="48" t="n">
        <v>1</v>
      </c>
      <c r="H9" s="48" t="n">
        <v>6</v>
      </c>
    </row>
    <row r="10" customFormat="false" ht="15" hidden="false" customHeight="false" outlineLevel="0" collapsed="false">
      <c r="A10" s="24" t="s">
        <v>82</v>
      </c>
      <c r="B10" s="25" t="s">
        <v>24</v>
      </c>
      <c r="C10" s="7" t="n">
        <v>0</v>
      </c>
      <c r="D10" s="7" t="n">
        <v>0</v>
      </c>
      <c r="E10" s="7" t="n">
        <v>0</v>
      </c>
      <c r="F10" s="7" t="n">
        <v>0</v>
      </c>
      <c r="G10" s="7" t="n">
        <v>0</v>
      </c>
      <c r="H10" s="7" t="n">
        <v>0</v>
      </c>
    </row>
    <row r="11" customFormat="false" ht="15" hidden="false" customHeight="false" outlineLevel="0" collapsed="false">
      <c r="A11" s="29"/>
      <c r="B11" s="25" t="s">
        <v>25</v>
      </c>
      <c r="C11" s="7" t="n">
        <v>1</v>
      </c>
      <c r="D11" s="7" t="n">
        <v>2</v>
      </c>
      <c r="E11" s="7" t="n">
        <v>0</v>
      </c>
      <c r="F11" s="7" t="n">
        <v>0</v>
      </c>
      <c r="G11" s="7" t="n">
        <v>0</v>
      </c>
      <c r="H11" s="7" t="n">
        <v>3</v>
      </c>
    </row>
    <row r="12" customFormat="false" ht="15" hidden="false" customHeight="false" outlineLevel="0" collapsed="false">
      <c r="A12" s="29"/>
      <c r="B12" s="25" t="s">
        <v>26</v>
      </c>
      <c r="C12" s="7" t="n">
        <v>0</v>
      </c>
      <c r="D12" s="7" t="n">
        <v>1</v>
      </c>
      <c r="E12" s="7" t="n">
        <v>0</v>
      </c>
      <c r="F12" s="7" t="n">
        <v>0</v>
      </c>
      <c r="G12" s="7" t="n">
        <v>0</v>
      </c>
      <c r="H12" s="7" t="n">
        <v>1</v>
      </c>
    </row>
    <row r="13" customFormat="false" ht="15" hidden="false" customHeight="false" outlineLevel="0" collapsed="false">
      <c r="A13" s="29"/>
      <c r="B13" s="25" t="s">
        <v>27</v>
      </c>
      <c r="C13" s="7" t="n">
        <v>0</v>
      </c>
      <c r="D13" s="7" t="n">
        <v>2</v>
      </c>
      <c r="E13" s="7" t="n">
        <v>0</v>
      </c>
      <c r="F13" s="7" t="n">
        <v>0</v>
      </c>
      <c r="G13" s="7" t="n">
        <v>0</v>
      </c>
      <c r="H13" s="7" t="n">
        <v>2</v>
      </c>
    </row>
    <row r="14" customFormat="false" ht="15" hidden="false" customHeight="false" outlineLevel="0" collapsed="false">
      <c r="A14" s="27"/>
      <c r="B14" s="28" t="s">
        <v>22</v>
      </c>
      <c r="C14" s="48" t="n">
        <v>1</v>
      </c>
      <c r="D14" s="48" t="n">
        <v>5</v>
      </c>
      <c r="E14" s="48" t="n">
        <v>0</v>
      </c>
      <c r="F14" s="48" t="n">
        <v>0</v>
      </c>
      <c r="G14" s="48" t="n">
        <v>0</v>
      </c>
      <c r="H14" s="48" t="n">
        <v>6</v>
      </c>
    </row>
    <row r="15" customFormat="false" ht="15" hidden="false" customHeight="false" outlineLevel="0" collapsed="false">
      <c r="A15" s="24" t="s">
        <v>83</v>
      </c>
      <c r="B15" s="25" t="s">
        <v>29</v>
      </c>
      <c r="C15" s="7" t="n">
        <v>0</v>
      </c>
      <c r="D15" s="7" t="n">
        <v>0</v>
      </c>
      <c r="E15" s="7" t="n">
        <v>0</v>
      </c>
      <c r="F15" s="7" t="n">
        <v>0</v>
      </c>
      <c r="G15" s="7" t="n">
        <v>0</v>
      </c>
      <c r="H15" s="7" t="n">
        <v>0</v>
      </c>
    </row>
    <row r="16" customFormat="false" ht="15" hidden="false" customHeight="false" outlineLevel="0" collapsed="false">
      <c r="A16" s="27"/>
      <c r="B16" s="28" t="s">
        <v>22</v>
      </c>
      <c r="C16" s="48" t="n">
        <v>0</v>
      </c>
      <c r="D16" s="48" t="n">
        <v>0</v>
      </c>
      <c r="E16" s="48" t="n">
        <v>0</v>
      </c>
      <c r="F16" s="48" t="n">
        <v>0</v>
      </c>
      <c r="G16" s="48" t="n">
        <v>0</v>
      </c>
      <c r="H16" s="48" t="n">
        <v>0</v>
      </c>
    </row>
    <row r="17" customFormat="false" ht="15" hidden="false" customHeight="false" outlineLevel="0" collapsed="false">
      <c r="A17" s="24" t="s">
        <v>84</v>
      </c>
      <c r="B17" s="25" t="s">
        <v>31</v>
      </c>
      <c r="C17" s="7" t="n">
        <v>0</v>
      </c>
      <c r="D17" s="7" t="n">
        <v>0</v>
      </c>
      <c r="E17" s="7" t="n">
        <v>0</v>
      </c>
      <c r="F17" s="7" t="n">
        <v>0</v>
      </c>
      <c r="G17" s="7" t="n">
        <v>0</v>
      </c>
      <c r="H17" s="7" t="n">
        <v>0</v>
      </c>
    </row>
    <row r="18" customFormat="false" ht="15" hidden="false" customHeight="false" outlineLevel="0" collapsed="false">
      <c r="A18" s="25"/>
      <c r="B18" s="25" t="s">
        <v>32</v>
      </c>
      <c r="C18" s="7" t="n">
        <v>1</v>
      </c>
      <c r="D18" s="7" t="n">
        <v>0</v>
      </c>
      <c r="E18" s="7" t="n">
        <v>0</v>
      </c>
      <c r="F18" s="7" t="n">
        <v>0</v>
      </c>
      <c r="G18" s="7" t="n">
        <v>0</v>
      </c>
      <c r="H18" s="7" t="n">
        <v>1</v>
      </c>
    </row>
    <row r="19" customFormat="false" ht="15" hidden="false" customHeight="false" outlineLevel="0" collapsed="false">
      <c r="A19" s="25"/>
      <c r="B19" s="25" t="s">
        <v>33</v>
      </c>
      <c r="C19" s="7" t="n">
        <v>0</v>
      </c>
      <c r="D19" s="7" t="n">
        <v>0</v>
      </c>
      <c r="E19" s="7" t="n">
        <v>0</v>
      </c>
      <c r="F19" s="7" t="n">
        <v>0</v>
      </c>
      <c r="G19" s="7" t="n">
        <v>0</v>
      </c>
      <c r="H19" s="7" t="n">
        <v>0</v>
      </c>
    </row>
    <row r="20" customFormat="false" ht="15" hidden="false" customHeight="false" outlineLevel="0" collapsed="false">
      <c r="A20" s="27"/>
      <c r="B20" s="28" t="s">
        <v>22</v>
      </c>
      <c r="C20" s="48" t="n">
        <v>1</v>
      </c>
      <c r="D20" s="48" t="n">
        <v>0</v>
      </c>
      <c r="E20" s="48" t="n">
        <v>0</v>
      </c>
      <c r="F20" s="48" t="n">
        <v>0</v>
      </c>
      <c r="G20" s="48" t="n">
        <v>0</v>
      </c>
      <c r="H20" s="48" t="n">
        <v>1</v>
      </c>
    </row>
    <row r="21" customFormat="false" ht="15" hidden="false" customHeight="false" outlineLevel="0" collapsed="false">
      <c r="A21" s="24" t="s">
        <v>85</v>
      </c>
      <c r="B21" s="25" t="s">
        <v>35</v>
      </c>
      <c r="C21" s="7" t="n">
        <v>1</v>
      </c>
      <c r="D21" s="7" t="n">
        <v>1</v>
      </c>
      <c r="E21" s="7" t="n">
        <v>1</v>
      </c>
      <c r="F21" s="7" t="n">
        <v>0</v>
      </c>
      <c r="G21" s="7" t="n">
        <v>0</v>
      </c>
      <c r="H21" s="7" t="n">
        <v>3</v>
      </c>
    </row>
    <row r="22" customFormat="false" ht="15" hidden="false" customHeight="false" outlineLevel="0" collapsed="false">
      <c r="A22" s="25"/>
      <c r="B22" s="25" t="s">
        <v>36</v>
      </c>
      <c r="C22" s="7" t="n">
        <v>0</v>
      </c>
      <c r="D22" s="7" t="n">
        <v>1</v>
      </c>
      <c r="E22" s="7" t="n">
        <v>1</v>
      </c>
      <c r="F22" s="7" t="n">
        <v>0</v>
      </c>
      <c r="G22" s="7" t="n">
        <v>0</v>
      </c>
      <c r="H22" s="7" t="n">
        <v>2</v>
      </c>
    </row>
    <row r="23" customFormat="false" ht="15" hidden="false" customHeight="false" outlineLevel="0" collapsed="false">
      <c r="A23" s="25"/>
      <c r="B23" s="25" t="s">
        <v>37</v>
      </c>
      <c r="C23" s="7" t="n">
        <v>1</v>
      </c>
      <c r="D23" s="7" t="n">
        <v>0</v>
      </c>
      <c r="E23" s="7" t="n">
        <v>0</v>
      </c>
      <c r="F23" s="7" t="n">
        <v>0</v>
      </c>
      <c r="G23" s="7" t="n">
        <v>0</v>
      </c>
      <c r="H23" s="7" t="n">
        <v>1</v>
      </c>
    </row>
    <row r="24" customFormat="false" ht="15" hidden="false" customHeight="false" outlineLevel="0" collapsed="false">
      <c r="A24" s="27"/>
      <c r="B24" s="28" t="s">
        <v>22</v>
      </c>
      <c r="C24" s="48" t="n">
        <v>2</v>
      </c>
      <c r="D24" s="48" t="n">
        <v>2</v>
      </c>
      <c r="E24" s="48" t="n">
        <v>2</v>
      </c>
      <c r="F24" s="48" t="n">
        <v>0</v>
      </c>
      <c r="G24" s="48" t="n">
        <v>0</v>
      </c>
      <c r="H24" s="48" t="n">
        <v>6</v>
      </c>
    </row>
    <row r="25" customFormat="false" ht="15" hidden="false" customHeight="false" outlineLevel="0" collapsed="false">
      <c r="A25" s="24" t="s">
        <v>86</v>
      </c>
      <c r="B25" s="25" t="s">
        <v>39</v>
      </c>
      <c r="C25" s="7" t="n">
        <v>0</v>
      </c>
      <c r="D25" s="7" t="n">
        <v>0</v>
      </c>
      <c r="E25" s="7" t="n">
        <v>0</v>
      </c>
      <c r="F25" s="7" t="n">
        <v>0</v>
      </c>
      <c r="G25" s="7" t="n">
        <v>0</v>
      </c>
      <c r="H25" s="7" t="n">
        <v>0</v>
      </c>
    </row>
    <row r="26" customFormat="false" ht="15" hidden="false" customHeight="false" outlineLevel="0" collapsed="false">
      <c r="A26" s="25"/>
      <c r="B26" s="25" t="s">
        <v>40</v>
      </c>
      <c r="C26" s="7" t="n">
        <v>0</v>
      </c>
      <c r="D26" s="7" t="n">
        <v>1</v>
      </c>
      <c r="E26" s="7" t="n">
        <v>1</v>
      </c>
      <c r="F26" s="7" t="n">
        <v>0</v>
      </c>
      <c r="G26" s="7" t="n">
        <v>0</v>
      </c>
      <c r="H26" s="7" t="n">
        <v>2</v>
      </c>
    </row>
    <row r="27" customFormat="false" ht="15" hidden="false" customHeight="false" outlineLevel="0" collapsed="false">
      <c r="A27" s="25"/>
      <c r="B27" s="25" t="s">
        <v>41</v>
      </c>
      <c r="C27" s="7" t="n">
        <v>4</v>
      </c>
      <c r="D27" s="7" t="n">
        <v>9</v>
      </c>
      <c r="E27" s="7" t="n">
        <v>2</v>
      </c>
      <c r="F27" s="7" t="n">
        <v>1</v>
      </c>
      <c r="G27" s="7" t="n">
        <v>0</v>
      </c>
      <c r="H27" s="7" t="n">
        <v>16</v>
      </c>
    </row>
    <row r="28" customFormat="false" ht="15" hidden="false" customHeight="false" outlineLevel="0" collapsed="false">
      <c r="A28" s="25"/>
      <c r="B28" s="25" t="s">
        <v>42</v>
      </c>
      <c r="C28" s="7" t="n">
        <v>0</v>
      </c>
      <c r="D28" s="7" t="n">
        <v>2</v>
      </c>
      <c r="E28" s="7" t="n">
        <v>0</v>
      </c>
      <c r="F28" s="7" t="n">
        <v>0</v>
      </c>
      <c r="G28" s="7" t="n">
        <v>0</v>
      </c>
      <c r="H28" s="7" t="n">
        <v>2</v>
      </c>
    </row>
    <row r="29" customFormat="false" ht="15" hidden="false" customHeight="false" outlineLevel="0" collapsed="false">
      <c r="A29" s="27"/>
      <c r="B29" s="28" t="s">
        <v>22</v>
      </c>
      <c r="C29" s="48" t="n">
        <v>4</v>
      </c>
      <c r="D29" s="48" t="n">
        <v>12</v>
      </c>
      <c r="E29" s="48" t="n">
        <v>3</v>
      </c>
      <c r="F29" s="48" t="n">
        <v>1</v>
      </c>
      <c r="G29" s="48" t="n">
        <v>0</v>
      </c>
      <c r="H29" s="48" t="n">
        <v>20</v>
      </c>
    </row>
    <row r="30" customFormat="false" ht="15" hidden="false" customHeight="false" outlineLevel="0" collapsed="false">
      <c r="A30" s="24" t="s">
        <v>87</v>
      </c>
      <c r="B30" s="25" t="s">
        <v>44</v>
      </c>
      <c r="C30" s="7" t="n">
        <v>6</v>
      </c>
      <c r="D30" s="7" t="n">
        <v>8</v>
      </c>
      <c r="E30" s="7" t="n">
        <v>2</v>
      </c>
      <c r="F30" s="7" t="n">
        <v>2</v>
      </c>
      <c r="G30" s="7" t="n">
        <v>1</v>
      </c>
      <c r="H30" s="7" t="n">
        <v>19</v>
      </c>
    </row>
    <row r="31" customFormat="false" ht="15" hidden="false" customHeight="false" outlineLevel="0" collapsed="false">
      <c r="A31" s="25"/>
      <c r="B31" s="25" t="s">
        <v>45</v>
      </c>
      <c r="C31" s="7" t="n">
        <v>0</v>
      </c>
      <c r="D31" s="7" t="n">
        <v>0</v>
      </c>
      <c r="E31" s="7" t="n">
        <v>0</v>
      </c>
      <c r="F31" s="7" t="n">
        <v>0</v>
      </c>
      <c r="G31" s="7" t="n">
        <v>1</v>
      </c>
      <c r="H31" s="7" t="n">
        <v>1</v>
      </c>
    </row>
    <row r="32" customFormat="false" ht="15" hidden="false" customHeight="false" outlineLevel="0" collapsed="false">
      <c r="A32" s="25"/>
      <c r="B32" s="25" t="s">
        <v>46</v>
      </c>
      <c r="C32" s="7" t="n">
        <v>27</v>
      </c>
      <c r="D32" s="7" t="n">
        <v>17</v>
      </c>
      <c r="E32" s="7" t="n">
        <v>8</v>
      </c>
      <c r="F32" s="7" t="n">
        <v>2</v>
      </c>
      <c r="G32" s="7" t="n">
        <v>3</v>
      </c>
      <c r="H32" s="7" t="n">
        <v>57</v>
      </c>
    </row>
    <row r="33" customFormat="false" ht="15" hidden="false" customHeight="false" outlineLevel="0" collapsed="false">
      <c r="A33" s="27"/>
      <c r="B33" s="28" t="s">
        <v>22</v>
      </c>
      <c r="C33" s="48" t="n">
        <v>33</v>
      </c>
      <c r="D33" s="48" t="n">
        <v>25</v>
      </c>
      <c r="E33" s="48" t="n">
        <v>10</v>
      </c>
      <c r="F33" s="48" t="n">
        <v>4</v>
      </c>
      <c r="G33" s="48" t="n">
        <v>5</v>
      </c>
      <c r="H33" s="48" t="n">
        <v>77</v>
      </c>
    </row>
    <row r="34" customFormat="false" ht="15" hidden="false" customHeight="false" outlineLevel="0" collapsed="false">
      <c r="A34" s="24" t="s">
        <v>90</v>
      </c>
      <c r="B34" s="25" t="s">
        <v>91</v>
      </c>
      <c r="C34" s="7" t="n">
        <v>0</v>
      </c>
      <c r="D34" s="7" t="n">
        <v>0</v>
      </c>
      <c r="E34" s="7" t="n">
        <v>0</v>
      </c>
      <c r="F34" s="7" t="n">
        <v>0</v>
      </c>
      <c r="G34" s="7" t="n">
        <v>0</v>
      </c>
      <c r="H34" s="7" t="n">
        <v>0</v>
      </c>
    </row>
    <row r="35" customFormat="false" ht="15" hidden="false" customHeight="false" outlineLevel="0" collapsed="false">
      <c r="A35" s="25"/>
      <c r="B35" s="25" t="s">
        <v>92</v>
      </c>
      <c r="C35" s="7" t="n">
        <v>12</v>
      </c>
      <c r="D35" s="7" t="n">
        <v>5</v>
      </c>
      <c r="E35" s="7" t="n">
        <v>2</v>
      </c>
      <c r="F35" s="7" t="n">
        <v>3</v>
      </c>
      <c r="G35" s="7" t="n">
        <v>2</v>
      </c>
      <c r="H35" s="7" t="n">
        <v>24</v>
      </c>
    </row>
    <row r="36" customFormat="false" ht="15" hidden="false" customHeight="false" outlineLevel="0" collapsed="false">
      <c r="A36" s="25"/>
      <c r="B36" s="25" t="s">
        <v>93</v>
      </c>
      <c r="C36" s="7" t="n">
        <v>0</v>
      </c>
      <c r="D36" s="7" t="n">
        <v>0</v>
      </c>
      <c r="E36" s="7" t="n">
        <v>0</v>
      </c>
      <c r="F36" s="7" t="n">
        <v>0</v>
      </c>
      <c r="G36" s="7" t="n">
        <v>0</v>
      </c>
      <c r="H36" s="7" t="n">
        <v>0</v>
      </c>
    </row>
    <row r="37" customFormat="false" ht="15" hidden="false" customHeight="false" outlineLevel="0" collapsed="false">
      <c r="A37" s="25"/>
      <c r="B37" s="25" t="s">
        <v>94</v>
      </c>
      <c r="C37" s="7" t="n">
        <v>7</v>
      </c>
      <c r="D37" s="7" t="n">
        <v>6</v>
      </c>
      <c r="E37" s="7" t="n">
        <v>3</v>
      </c>
      <c r="F37" s="7" t="n">
        <v>4</v>
      </c>
      <c r="G37" s="7" t="n">
        <v>0</v>
      </c>
      <c r="H37" s="7" t="n">
        <v>20</v>
      </c>
    </row>
    <row r="38" customFormat="false" ht="15" hidden="false" customHeight="false" outlineLevel="0" collapsed="false">
      <c r="A38" s="25"/>
      <c r="B38" s="25" t="s">
        <v>95</v>
      </c>
      <c r="C38" s="7" t="n">
        <v>8</v>
      </c>
      <c r="D38" s="7" t="n">
        <v>11</v>
      </c>
      <c r="E38" s="7" t="n">
        <v>3</v>
      </c>
      <c r="F38" s="7" t="n">
        <v>0</v>
      </c>
      <c r="G38" s="7" t="n">
        <v>3</v>
      </c>
      <c r="H38" s="7" t="n">
        <v>25</v>
      </c>
    </row>
    <row r="39" customFormat="false" ht="15" hidden="false" customHeight="false" outlineLevel="0" collapsed="false">
      <c r="A39" s="25"/>
      <c r="B39" s="25" t="s">
        <v>96</v>
      </c>
      <c r="C39" s="7" t="n">
        <v>10</v>
      </c>
      <c r="D39" s="7" t="n">
        <v>13</v>
      </c>
      <c r="E39" s="7" t="n">
        <v>3</v>
      </c>
      <c r="F39" s="7" t="n">
        <v>1</v>
      </c>
      <c r="G39" s="7" t="n">
        <v>2</v>
      </c>
      <c r="H39" s="7" t="n">
        <v>29</v>
      </c>
    </row>
    <row r="40" customFormat="false" ht="15" hidden="false" customHeight="false" outlineLevel="0" collapsed="false">
      <c r="A40" s="25"/>
      <c r="B40" s="25" t="s">
        <v>97</v>
      </c>
      <c r="C40" s="7" t="n">
        <v>4</v>
      </c>
      <c r="D40" s="7" t="n">
        <v>4</v>
      </c>
      <c r="E40" s="7" t="n">
        <v>3</v>
      </c>
      <c r="F40" s="7" t="n">
        <v>0</v>
      </c>
      <c r="G40" s="7" t="n">
        <v>1</v>
      </c>
      <c r="H40" s="7" t="n">
        <v>12</v>
      </c>
    </row>
    <row r="41" customFormat="false" ht="15" hidden="false" customHeight="false" outlineLevel="0" collapsed="false">
      <c r="A41" s="25"/>
      <c r="B41" s="25" t="s">
        <v>98</v>
      </c>
      <c r="C41" s="7" t="n">
        <v>0</v>
      </c>
      <c r="D41" s="7" t="n">
        <v>0</v>
      </c>
      <c r="E41" s="7" t="n">
        <v>0</v>
      </c>
      <c r="F41" s="7" t="n">
        <v>0</v>
      </c>
      <c r="G41" s="7" t="n">
        <v>0</v>
      </c>
      <c r="H41" s="7" t="n">
        <v>0</v>
      </c>
    </row>
    <row r="42" customFormat="false" ht="15" hidden="false" customHeight="false" outlineLevel="0" collapsed="false">
      <c r="A42" s="25"/>
      <c r="B42" s="25" t="s">
        <v>99</v>
      </c>
      <c r="C42" s="7" t="n">
        <v>4</v>
      </c>
      <c r="D42" s="7" t="n">
        <v>3</v>
      </c>
      <c r="E42" s="7" t="n">
        <v>0</v>
      </c>
      <c r="F42" s="7" t="n">
        <v>0</v>
      </c>
      <c r="G42" s="7" t="n">
        <v>0</v>
      </c>
      <c r="H42" s="7" t="n">
        <v>7</v>
      </c>
    </row>
    <row r="43" customFormat="false" ht="15" hidden="false" customHeight="false" outlineLevel="0" collapsed="false">
      <c r="A43" s="27"/>
      <c r="B43" s="28" t="s">
        <v>22</v>
      </c>
      <c r="C43" s="48" t="n">
        <v>45</v>
      </c>
      <c r="D43" s="48" t="n">
        <v>42</v>
      </c>
      <c r="E43" s="48" t="n">
        <v>14</v>
      </c>
      <c r="F43" s="48" t="n">
        <v>8</v>
      </c>
      <c r="G43" s="48" t="n">
        <v>8</v>
      </c>
      <c r="H43" s="48" t="n">
        <v>117</v>
      </c>
    </row>
    <row r="44" customFormat="false" ht="15" hidden="false" customHeight="false" outlineLevel="0" collapsed="false">
      <c r="A44" s="24" t="s">
        <v>100</v>
      </c>
      <c r="B44" s="25" t="s">
        <v>101</v>
      </c>
      <c r="C44" s="7" t="n">
        <v>11</v>
      </c>
      <c r="D44" s="7" t="n">
        <v>11</v>
      </c>
      <c r="E44" s="7" t="n">
        <v>5</v>
      </c>
      <c r="F44" s="7" t="n">
        <v>0</v>
      </c>
      <c r="G44" s="7" t="n">
        <v>8</v>
      </c>
      <c r="H44" s="7" t="n">
        <v>35</v>
      </c>
    </row>
    <row r="45" customFormat="false" ht="15" hidden="false" customHeight="false" outlineLevel="0" collapsed="false">
      <c r="A45" s="25"/>
      <c r="B45" s="25" t="s">
        <v>102</v>
      </c>
      <c r="C45" s="7" t="n">
        <v>0</v>
      </c>
      <c r="D45" s="7" t="n">
        <v>0</v>
      </c>
      <c r="E45" s="7" t="n">
        <v>0</v>
      </c>
      <c r="F45" s="7" t="n">
        <v>0</v>
      </c>
      <c r="G45" s="7" t="n">
        <v>0</v>
      </c>
      <c r="H45" s="7" t="n">
        <v>0</v>
      </c>
    </row>
    <row r="46" customFormat="false" ht="15" hidden="false" customHeight="false" outlineLevel="0" collapsed="false">
      <c r="A46" s="25"/>
      <c r="B46" s="25" t="s">
        <v>103</v>
      </c>
      <c r="C46" s="7" t="n">
        <v>1</v>
      </c>
      <c r="D46" s="7" t="n">
        <v>0</v>
      </c>
      <c r="E46" s="7" t="n">
        <v>0</v>
      </c>
      <c r="F46" s="7" t="n">
        <v>0</v>
      </c>
      <c r="G46" s="7" t="n">
        <v>0</v>
      </c>
      <c r="H46" s="7" t="n">
        <v>1</v>
      </c>
    </row>
    <row r="47" customFormat="false" ht="15" hidden="false" customHeight="false" outlineLevel="0" collapsed="false">
      <c r="A47" s="25"/>
      <c r="B47" s="25" t="s">
        <v>104</v>
      </c>
      <c r="C47" s="7" t="n">
        <v>0</v>
      </c>
      <c r="D47" s="7" t="n">
        <v>0</v>
      </c>
      <c r="E47" s="7" t="n">
        <v>0</v>
      </c>
      <c r="F47" s="7" t="n">
        <v>0</v>
      </c>
      <c r="G47" s="7" t="n">
        <v>0</v>
      </c>
      <c r="H47" s="7" t="n">
        <v>0</v>
      </c>
    </row>
    <row r="48" customFormat="false" ht="15" hidden="false" customHeight="false" outlineLevel="0" collapsed="false">
      <c r="A48" s="25"/>
      <c r="B48" s="25" t="s">
        <v>105</v>
      </c>
      <c r="C48" s="7" t="n">
        <v>0</v>
      </c>
      <c r="D48" s="7" t="n">
        <v>0</v>
      </c>
      <c r="E48" s="7" t="n">
        <v>0</v>
      </c>
      <c r="F48" s="7" t="n">
        <v>0</v>
      </c>
      <c r="G48" s="7" t="n">
        <v>0</v>
      </c>
      <c r="H48" s="7" t="n">
        <v>0</v>
      </c>
    </row>
    <row r="49" customFormat="false" ht="15" hidden="false" customHeight="false" outlineLevel="0" collapsed="false">
      <c r="A49" s="25"/>
      <c r="B49" s="25" t="s">
        <v>106</v>
      </c>
      <c r="C49" s="7" t="n">
        <v>0</v>
      </c>
      <c r="D49" s="7" t="n">
        <v>0</v>
      </c>
      <c r="E49" s="7" t="n">
        <v>0</v>
      </c>
      <c r="F49" s="7" t="n">
        <v>0</v>
      </c>
      <c r="G49" s="7" t="n">
        <v>0</v>
      </c>
      <c r="H49" s="7" t="n">
        <v>0</v>
      </c>
    </row>
    <row r="50" customFormat="false" ht="15" hidden="false" customHeight="false" outlineLevel="0" collapsed="false">
      <c r="A50" s="25"/>
      <c r="B50" s="25" t="s">
        <v>107</v>
      </c>
      <c r="C50" s="7" t="n">
        <v>0</v>
      </c>
      <c r="D50" s="7" t="n">
        <v>0</v>
      </c>
      <c r="E50" s="7" t="n">
        <v>0</v>
      </c>
      <c r="F50" s="7" t="n">
        <v>0</v>
      </c>
      <c r="G50" s="7" t="n">
        <v>0</v>
      </c>
      <c r="H50" s="7" t="n">
        <v>0</v>
      </c>
    </row>
    <row r="51" customFormat="false" ht="15" hidden="false" customHeight="false" outlineLevel="0" collapsed="false">
      <c r="A51" s="25"/>
      <c r="B51" s="25" t="s">
        <v>108</v>
      </c>
      <c r="C51" s="7" t="n">
        <v>0</v>
      </c>
      <c r="D51" s="7" t="n">
        <v>2</v>
      </c>
      <c r="E51" s="7" t="n">
        <v>1</v>
      </c>
      <c r="F51" s="7" t="n">
        <v>0</v>
      </c>
      <c r="G51" s="7" t="n">
        <v>0</v>
      </c>
      <c r="H51" s="7" t="n">
        <v>3</v>
      </c>
    </row>
    <row r="52" customFormat="false" ht="15" hidden="false" customHeight="false" outlineLevel="0" collapsed="false">
      <c r="A52" s="25"/>
      <c r="B52" s="25" t="s">
        <v>109</v>
      </c>
      <c r="C52" s="7" t="n">
        <v>6</v>
      </c>
      <c r="D52" s="7" t="n">
        <v>12</v>
      </c>
      <c r="E52" s="7" t="n">
        <v>1</v>
      </c>
      <c r="F52" s="7" t="n">
        <v>4</v>
      </c>
      <c r="G52" s="7" t="n">
        <v>4</v>
      </c>
      <c r="H52" s="7" t="n">
        <v>27</v>
      </c>
    </row>
    <row r="53" customFormat="false" ht="15" hidden="false" customHeight="false" outlineLevel="0" collapsed="false">
      <c r="A53" s="25"/>
      <c r="B53" s="25" t="s">
        <v>110</v>
      </c>
      <c r="C53" s="7" t="n">
        <v>2</v>
      </c>
      <c r="D53" s="7" t="n">
        <v>3</v>
      </c>
      <c r="E53" s="7" t="n">
        <v>2</v>
      </c>
      <c r="F53" s="7" t="n">
        <v>0</v>
      </c>
      <c r="G53" s="7" t="n">
        <v>1</v>
      </c>
      <c r="H53" s="7" t="n">
        <v>8</v>
      </c>
    </row>
    <row r="54" customFormat="false" ht="15" hidden="false" customHeight="false" outlineLevel="0" collapsed="false">
      <c r="A54" s="25"/>
      <c r="B54" s="25" t="s">
        <v>111</v>
      </c>
      <c r="C54" s="7" t="n">
        <v>0</v>
      </c>
      <c r="D54" s="7" t="n">
        <v>0</v>
      </c>
      <c r="E54" s="7" t="n">
        <v>0</v>
      </c>
      <c r="F54" s="7" t="n">
        <v>0</v>
      </c>
      <c r="G54" s="7" t="n">
        <v>0</v>
      </c>
      <c r="H54" s="7" t="n">
        <v>0</v>
      </c>
    </row>
    <row r="55" customFormat="false" ht="15" hidden="false" customHeight="false" outlineLevel="0" collapsed="false">
      <c r="A55" s="25"/>
      <c r="B55" s="25" t="s">
        <v>112</v>
      </c>
      <c r="C55" s="7" t="n">
        <v>0</v>
      </c>
      <c r="D55" s="7" t="n">
        <v>0</v>
      </c>
      <c r="E55" s="7" t="n">
        <v>0</v>
      </c>
      <c r="F55" s="7" t="n">
        <v>0</v>
      </c>
      <c r="G55" s="7" t="n">
        <v>0</v>
      </c>
      <c r="H55" s="7" t="n">
        <v>0</v>
      </c>
    </row>
    <row r="56" customFormat="false" ht="15" hidden="false" customHeight="false" outlineLevel="0" collapsed="false">
      <c r="A56" s="25"/>
      <c r="B56" s="25" t="s">
        <v>113</v>
      </c>
      <c r="C56" s="7" t="n">
        <v>0</v>
      </c>
      <c r="D56" s="7" t="n">
        <v>0</v>
      </c>
      <c r="E56" s="7" t="n">
        <v>0</v>
      </c>
      <c r="F56" s="7" t="n">
        <v>0</v>
      </c>
      <c r="G56" s="7" t="n">
        <v>0</v>
      </c>
      <c r="H56" s="7" t="n">
        <v>0</v>
      </c>
    </row>
    <row r="57" customFormat="false" ht="15" hidden="false" customHeight="false" outlineLevel="0" collapsed="false">
      <c r="A57" s="25"/>
      <c r="B57" s="25" t="s">
        <v>114</v>
      </c>
      <c r="C57" s="7" t="n">
        <v>0</v>
      </c>
      <c r="D57" s="7" t="n">
        <v>0</v>
      </c>
      <c r="E57" s="7" t="n">
        <v>0</v>
      </c>
      <c r="F57" s="7" t="n">
        <v>0</v>
      </c>
      <c r="G57" s="7" t="n">
        <v>0</v>
      </c>
      <c r="H57" s="7" t="n">
        <v>0</v>
      </c>
    </row>
    <row r="58" customFormat="false" ht="15" hidden="false" customHeight="false" outlineLevel="0" collapsed="false">
      <c r="A58" s="25"/>
      <c r="B58" s="25" t="s">
        <v>115</v>
      </c>
      <c r="C58" s="7" t="n">
        <v>6</v>
      </c>
      <c r="D58" s="7" t="n">
        <v>5</v>
      </c>
      <c r="E58" s="7" t="n">
        <v>2</v>
      </c>
      <c r="F58" s="7" t="n">
        <v>1</v>
      </c>
      <c r="G58" s="7" t="n">
        <v>0</v>
      </c>
      <c r="H58" s="7" t="n">
        <v>14</v>
      </c>
    </row>
    <row r="59" customFormat="false" ht="15" hidden="false" customHeight="false" outlineLevel="0" collapsed="false">
      <c r="A59" s="25"/>
      <c r="B59" s="25" t="s">
        <v>116</v>
      </c>
      <c r="C59" s="7" t="n">
        <v>0</v>
      </c>
      <c r="D59" s="7" t="n">
        <v>0</v>
      </c>
      <c r="E59" s="7" t="n">
        <v>0</v>
      </c>
      <c r="F59" s="7" t="n">
        <v>0</v>
      </c>
      <c r="G59" s="7" t="n">
        <v>1</v>
      </c>
      <c r="H59" s="7" t="n">
        <v>1</v>
      </c>
    </row>
    <row r="60" customFormat="false" ht="15" hidden="false" customHeight="false" outlineLevel="0" collapsed="false">
      <c r="A60" s="27"/>
      <c r="B60" s="28" t="s">
        <v>22</v>
      </c>
      <c r="C60" s="48" t="n">
        <v>26</v>
      </c>
      <c r="D60" s="48" t="n">
        <v>33</v>
      </c>
      <c r="E60" s="48" t="n">
        <v>11</v>
      </c>
      <c r="F60" s="48" t="n">
        <v>5</v>
      </c>
      <c r="G60" s="48" t="n">
        <v>14</v>
      </c>
      <c r="H60" s="48" t="n">
        <v>89</v>
      </c>
    </row>
    <row r="61" customFormat="false" ht="15" hidden="false" customHeight="false" outlineLevel="0" collapsed="false">
      <c r="A61" s="49"/>
      <c r="B61" s="49" t="s">
        <v>74</v>
      </c>
      <c r="C61" s="50" t="n">
        <v>113</v>
      </c>
      <c r="D61" s="50" t="n">
        <v>121</v>
      </c>
      <c r="E61" s="50" t="n">
        <v>40</v>
      </c>
      <c r="F61" s="50" t="n">
        <v>20</v>
      </c>
      <c r="G61" s="50" t="n">
        <v>28</v>
      </c>
      <c r="H61" s="50" t="n">
        <v>322</v>
      </c>
    </row>
    <row r="62" customFormat="false" ht="15" hidden="false" customHeight="false" outlineLevel="0" collapsed="false">
      <c r="A62" s="51"/>
      <c r="B62" s="51" t="s">
        <v>117</v>
      </c>
      <c r="C62" s="52" t="n">
        <v>0.350931677018634</v>
      </c>
      <c r="D62" s="52" t="n">
        <v>0.375776397515528</v>
      </c>
      <c r="E62" s="52" t="n">
        <v>0.124223602484472</v>
      </c>
      <c r="F62" s="52" t="n">
        <v>0.062111801242236</v>
      </c>
      <c r="G62" s="52" t="n">
        <v>0.0869565217391304</v>
      </c>
      <c r="H62" s="53" t="n">
        <v>1</v>
      </c>
    </row>
    <row r="63" customFormat="false" ht="15" hidden="false" customHeight="false" outlineLevel="0" collapsed="false">
      <c r="A63" s="34" t="s">
        <v>118</v>
      </c>
    </row>
  </sheetData>
  <mergeCells count="2">
    <mergeCell ref="A1:H1"/>
    <mergeCell ref="C2:H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9" activeCellId="0" sqref="K19"/>
    </sheetView>
  </sheetViews>
  <sheetFormatPr defaultRowHeight="15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4" activeCellId="0" sqref="J4"/>
    </sheetView>
  </sheetViews>
  <sheetFormatPr defaultRowHeight="15" outlineLevelRow="0" outlineLevelCol="0"/>
  <cols>
    <col collapsed="false" customWidth="true" hidden="false" outlineLevel="0" max="1" min="1" style="0" width="14.86"/>
    <col collapsed="false" customWidth="true" hidden="false" outlineLevel="0" max="2" min="2" style="0" width="27.14"/>
    <col collapsed="false" customWidth="true" hidden="false" outlineLevel="0" max="1025" min="3" style="0" width="8.67"/>
  </cols>
  <sheetData>
    <row r="1" customFormat="false" ht="15" hidden="false" customHeight="false" outlineLevel="0" collapsed="false">
      <c r="A1" s="54" t="s">
        <v>128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</row>
    <row r="2" customFormat="false" ht="15" hidden="false" customHeight="false" outlineLevel="0" collapsed="false">
      <c r="A2" s="54"/>
      <c r="B2" s="54" t="s">
        <v>1</v>
      </c>
      <c r="C2" s="55" t="s">
        <v>129</v>
      </c>
      <c r="D2" s="55"/>
      <c r="E2" s="55"/>
      <c r="F2" s="55"/>
      <c r="G2" s="55"/>
      <c r="H2" s="55"/>
      <c r="I2" s="55"/>
      <c r="J2" s="55"/>
      <c r="K2" s="54"/>
      <c r="L2" s="54"/>
    </row>
    <row r="3" customFormat="false" ht="15" hidden="false" customHeight="true" outlineLevel="0" collapsed="false">
      <c r="A3" s="56" t="s">
        <v>2</v>
      </c>
      <c r="B3" s="56" t="s">
        <v>121</v>
      </c>
      <c r="C3" s="56" t="s">
        <v>130</v>
      </c>
      <c r="D3" s="56"/>
      <c r="E3" s="56" t="s">
        <v>131</v>
      </c>
      <c r="F3" s="56"/>
      <c r="G3" s="56" t="s">
        <v>132</v>
      </c>
      <c r="H3" s="56"/>
      <c r="I3" s="56" t="s">
        <v>133</v>
      </c>
      <c r="J3" s="56"/>
      <c r="K3" s="56" t="s">
        <v>134</v>
      </c>
      <c r="L3" s="56"/>
    </row>
    <row r="4" customFormat="false" ht="15" hidden="false" customHeight="false" outlineLevel="0" collapsed="false">
      <c r="A4" s="56"/>
      <c r="B4" s="56"/>
      <c r="C4" s="56" t="s">
        <v>135</v>
      </c>
      <c r="D4" s="56" t="s">
        <v>136</v>
      </c>
      <c r="E4" s="56" t="s">
        <v>135</v>
      </c>
      <c r="F4" s="56" t="s">
        <v>136</v>
      </c>
      <c r="G4" s="56" t="s">
        <v>135</v>
      </c>
      <c r="H4" s="56" t="s">
        <v>136</v>
      </c>
      <c r="I4" s="56" t="s">
        <v>135</v>
      </c>
      <c r="J4" s="56" t="s">
        <v>136</v>
      </c>
      <c r="K4" s="56" t="s">
        <v>135</v>
      </c>
      <c r="L4" s="56" t="s">
        <v>136</v>
      </c>
    </row>
    <row r="5" customFormat="false" ht="15" hidden="false" customHeight="false" outlineLevel="0" collapsed="false">
      <c r="A5" s="57" t="s">
        <v>81</v>
      </c>
      <c r="B5" s="58" t="s">
        <v>18</v>
      </c>
      <c r="C5" s="58" t="n">
        <v>0</v>
      </c>
      <c r="D5" s="59" t="n">
        <v>0</v>
      </c>
      <c r="E5" s="58" t="n">
        <v>0</v>
      </c>
      <c r="F5" s="59" t="n">
        <v>0</v>
      </c>
      <c r="G5" s="58" t="n">
        <v>0</v>
      </c>
      <c r="H5" s="59" t="n">
        <v>0</v>
      </c>
      <c r="I5" s="58" t="n">
        <v>0</v>
      </c>
      <c r="J5" s="59" t="n">
        <v>0</v>
      </c>
      <c r="K5" s="58" t="n">
        <v>0</v>
      </c>
      <c r="L5" s="59" t="n">
        <v>0</v>
      </c>
    </row>
    <row r="6" customFormat="false" ht="15" hidden="false" customHeight="false" outlineLevel="0" collapsed="false">
      <c r="A6" s="57"/>
      <c r="B6" s="58" t="s">
        <v>19</v>
      </c>
      <c r="C6" s="58" t="n">
        <v>0</v>
      </c>
      <c r="D6" s="59" t="n">
        <v>0</v>
      </c>
      <c r="E6" s="58" t="n">
        <v>0</v>
      </c>
      <c r="F6" s="59" t="n">
        <v>0</v>
      </c>
      <c r="G6" s="58" t="n">
        <v>0</v>
      </c>
      <c r="H6" s="59" t="n">
        <v>0</v>
      </c>
      <c r="I6" s="58" t="n">
        <v>4</v>
      </c>
      <c r="J6" s="59" t="n">
        <v>0.75</v>
      </c>
      <c r="K6" s="58" t="n">
        <v>4</v>
      </c>
      <c r="L6" s="59" t="n">
        <v>0.6</v>
      </c>
    </row>
    <row r="7" customFormat="false" ht="15" hidden="false" customHeight="false" outlineLevel="0" collapsed="false">
      <c r="A7" s="57"/>
      <c r="B7" s="58" t="s">
        <v>20</v>
      </c>
      <c r="C7" s="58" t="n">
        <v>0</v>
      </c>
      <c r="D7" s="59" t="n">
        <v>0</v>
      </c>
      <c r="E7" s="58" t="n">
        <v>0</v>
      </c>
      <c r="F7" s="59" t="n">
        <v>0</v>
      </c>
      <c r="G7" s="58" t="n">
        <v>0</v>
      </c>
      <c r="H7" s="59" t="n">
        <v>0</v>
      </c>
      <c r="I7" s="58" t="n">
        <v>0</v>
      </c>
      <c r="J7" s="59" t="n">
        <v>0</v>
      </c>
      <c r="K7" s="58" t="n">
        <v>0</v>
      </c>
      <c r="L7" s="59" t="n">
        <v>0</v>
      </c>
    </row>
    <row r="8" customFormat="false" ht="15" hidden="false" customHeight="false" outlineLevel="0" collapsed="false">
      <c r="A8" s="57"/>
      <c r="B8" s="58" t="s">
        <v>21</v>
      </c>
      <c r="C8" s="58" t="n">
        <v>0</v>
      </c>
      <c r="D8" s="59" t="n">
        <v>0</v>
      </c>
      <c r="E8" s="58" t="n">
        <v>1</v>
      </c>
      <c r="F8" s="59" t="n">
        <v>1</v>
      </c>
      <c r="G8" s="58" t="n">
        <v>0</v>
      </c>
      <c r="H8" s="59" t="n">
        <v>0</v>
      </c>
      <c r="I8" s="58" t="n">
        <v>1</v>
      </c>
      <c r="J8" s="59" t="n">
        <v>0.25</v>
      </c>
      <c r="K8" s="58" t="n">
        <v>2</v>
      </c>
      <c r="L8" s="59" t="n">
        <v>0.4</v>
      </c>
    </row>
    <row r="9" customFormat="false" ht="15" hidden="false" customHeight="false" outlineLevel="0" collapsed="false">
      <c r="A9" s="60"/>
      <c r="B9" s="61" t="s">
        <v>22</v>
      </c>
      <c r="C9" s="62" t="n">
        <v>0</v>
      </c>
      <c r="D9" s="63" t="n">
        <v>0</v>
      </c>
      <c r="E9" s="62" t="n">
        <v>1</v>
      </c>
      <c r="F9" s="63" t="n">
        <v>1</v>
      </c>
      <c r="G9" s="62" t="n">
        <v>0</v>
      </c>
      <c r="H9" s="63" t="n">
        <v>0</v>
      </c>
      <c r="I9" s="62" t="n">
        <v>5</v>
      </c>
      <c r="J9" s="63" t="n">
        <v>1</v>
      </c>
      <c r="K9" s="62" t="n">
        <v>6</v>
      </c>
      <c r="L9" s="63" t="n">
        <v>1</v>
      </c>
    </row>
    <row r="10" customFormat="false" ht="15" hidden="false" customHeight="false" outlineLevel="0" collapsed="false">
      <c r="A10" s="57" t="s">
        <v>82</v>
      </c>
      <c r="B10" s="58" t="s">
        <v>24</v>
      </c>
      <c r="C10" s="58" t="n">
        <v>0</v>
      </c>
      <c r="D10" s="59" t="n">
        <v>0</v>
      </c>
      <c r="E10" s="58" t="n">
        <v>0</v>
      </c>
      <c r="F10" s="59" t="n">
        <v>0</v>
      </c>
      <c r="G10" s="58" t="n">
        <v>0</v>
      </c>
      <c r="H10" s="59" t="n">
        <v>0</v>
      </c>
      <c r="I10" s="58" t="n">
        <v>0</v>
      </c>
      <c r="J10" s="59" t="n">
        <v>0</v>
      </c>
      <c r="K10" s="58" t="n">
        <v>0</v>
      </c>
      <c r="L10" s="59" t="n">
        <v>0</v>
      </c>
    </row>
    <row r="11" customFormat="false" ht="15" hidden="false" customHeight="false" outlineLevel="0" collapsed="false">
      <c r="A11" s="57"/>
      <c r="B11" s="58" t="s">
        <v>25</v>
      </c>
      <c r="C11" s="58" t="n">
        <v>0</v>
      </c>
      <c r="D11" s="59" t="n">
        <v>0</v>
      </c>
      <c r="E11" s="58" t="n">
        <v>0</v>
      </c>
      <c r="F11" s="59" t="n">
        <v>0</v>
      </c>
      <c r="G11" s="58" t="n">
        <v>0</v>
      </c>
      <c r="H11" s="59" t="n">
        <v>0</v>
      </c>
      <c r="I11" s="58" t="n">
        <v>3</v>
      </c>
      <c r="J11" s="59" t="n">
        <v>0.75</v>
      </c>
      <c r="K11" s="58" t="n">
        <v>3</v>
      </c>
      <c r="L11" s="59" t="n">
        <v>0.6</v>
      </c>
    </row>
    <row r="12" customFormat="false" ht="15" hidden="false" customHeight="false" outlineLevel="0" collapsed="false">
      <c r="A12" s="57"/>
      <c r="B12" s="58" t="s">
        <v>26</v>
      </c>
      <c r="C12" s="58" t="n">
        <v>0</v>
      </c>
      <c r="D12" s="59" t="n">
        <v>0</v>
      </c>
      <c r="E12" s="58" t="n">
        <v>0</v>
      </c>
      <c r="F12" s="59" t="n">
        <v>0</v>
      </c>
      <c r="G12" s="58" t="n">
        <v>0</v>
      </c>
      <c r="H12" s="59" t="n">
        <v>0</v>
      </c>
      <c r="I12" s="58" t="n">
        <v>1</v>
      </c>
      <c r="J12" s="59" t="n">
        <v>0.25</v>
      </c>
      <c r="K12" s="58" t="n">
        <v>1</v>
      </c>
      <c r="L12" s="59" t="n">
        <v>0.2</v>
      </c>
    </row>
    <row r="13" customFormat="false" ht="15" hidden="false" customHeight="false" outlineLevel="0" collapsed="false">
      <c r="A13" s="57"/>
      <c r="B13" s="58" t="s">
        <v>27</v>
      </c>
      <c r="C13" s="58" t="n">
        <v>0</v>
      </c>
      <c r="D13" s="59" t="n">
        <v>0</v>
      </c>
      <c r="E13" s="58" t="n">
        <v>1</v>
      </c>
      <c r="F13" s="59" t="n">
        <v>1</v>
      </c>
      <c r="G13" s="58" t="n">
        <v>0</v>
      </c>
      <c r="H13" s="59" t="n">
        <v>0</v>
      </c>
      <c r="I13" s="58" t="n">
        <v>1</v>
      </c>
      <c r="J13" s="59" t="n">
        <v>0</v>
      </c>
      <c r="K13" s="58" t="n">
        <v>2</v>
      </c>
      <c r="L13" s="59" t="n">
        <v>0.2</v>
      </c>
    </row>
    <row r="14" customFormat="false" ht="15" hidden="false" customHeight="false" outlineLevel="0" collapsed="false">
      <c r="A14" s="60"/>
      <c r="B14" s="61" t="s">
        <v>22</v>
      </c>
      <c r="C14" s="62" t="n">
        <v>0</v>
      </c>
      <c r="D14" s="63" t="n">
        <v>0</v>
      </c>
      <c r="E14" s="62" t="n">
        <v>1</v>
      </c>
      <c r="F14" s="63" t="n">
        <v>1</v>
      </c>
      <c r="G14" s="62" t="n">
        <v>0</v>
      </c>
      <c r="H14" s="63" t="n">
        <v>0</v>
      </c>
      <c r="I14" s="62" t="n">
        <v>5</v>
      </c>
      <c r="J14" s="63" t="n">
        <v>1</v>
      </c>
      <c r="K14" s="62" t="n">
        <v>6</v>
      </c>
      <c r="L14" s="63" t="n">
        <v>1</v>
      </c>
    </row>
    <row r="15" customFormat="false" ht="15" hidden="false" customHeight="false" outlineLevel="0" collapsed="false">
      <c r="A15" s="57" t="s">
        <v>83</v>
      </c>
      <c r="B15" s="58" t="s">
        <v>29</v>
      </c>
      <c r="C15" s="58" t="n">
        <v>0</v>
      </c>
      <c r="D15" s="59" t="n">
        <v>0</v>
      </c>
      <c r="E15" s="58" t="n">
        <v>0</v>
      </c>
      <c r="F15" s="59" t="n">
        <v>0</v>
      </c>
      <c r="G15" s="58" t="n">
        <v>0</v>
      </c>
      <c r="H15" s="59" t="n">
        <v>0</v>
      </c>
      <c r="I15" s="58" t="n">
        <v>0</v>
      </c>
      <c r="J15" s="59" t="n">
        <v>0</v>
      </c>
      <c r="K15" s="58" t="n">
        <v>0</v>
      </c>
      <c r="L15" s="59" t="n">
        <v>0</v>
      </c>
    </row>
    <row r="16" customFormat="false" ht="15" hidden="false" customHeight="false" outlineLevel="0" collapsed="false">
      <c r="A16" s="60"/>
      <c r="B16" s="61" t="s">
        <v>22</v>
      </c>
      <c r="C16" s="62" t="n">
        <v>0</v>
      </c>
      <c r="D16" s="63" t="n">
        <v>0</v>
      </c>
      <c r="E16" s="62" t="n">
        <v>0</v>
      </c>
      <c r="F16" s="63" t="n">
        <v>0</v>
      </c>
      <c r="G16" s="62" t="n">
        <v>0</v>
      </c>
      <c r="H16" s="63" t="n">
        <v>0</v>
      </c>
      <c r="I16" s="62" t="n">
        <v>0</v>
      </c>
      <c r="J16" s="63" t="n">
        <v>0</v>
      </c>
      <c r="K16" s="62" t="n">
        <v>0</v>
      </c>
      <c r="L16" s="63" t="n">
        <v>0</v>
      </c>
    </row>
    <row r="17" customFormat="false" ht="15" hidden="false" customHeight="false" outlineLevel="0" collapsed="false">
      <c r="A17" s="57" t="s">
        <v>84</v>
      </c>
      <c r="B17" s="58" t="s">
        <v>31</v>
      </c>
      <c r="C17" s="58" t="n">
        <v>0</v>
      </c>
      <c r="D17" s="59" t="n">
        <v>0</v>
      </c>
      <c r="E17" s="58" t="n">
        <v>0</v>
      </c>
      <c r="F17" s="59" t="n">
        <v>0</v>
      </c>
      <c r="G17" s="58" t="n">
        <v>0</v>
      </c>
      <c r="H17" s="59" t="n">
        <v>0</v>
      </c>
      <c r="I17" s="58" t="n">
        <v>0</v>
      </c>
      <c r="J17" s="59" t="n">
        <v>0</v>
      </c>
      <c r="K17" s="58" t="n">
        <v>0</v>
      </c>
      <c r="L17" s="59" t="n">
        <v>0</v>
      </c>
    </row>
    <row r="18" customFormat="false" ht="15" hidden="false" customHeight="false" outlineLevel="0" collapsed="false">
      <c r="A18" s="57"/>
      <c r="B18" s="58" t="s">
        <v>32</v>
      </c>
      <c r="C18" s="58" t="n">
        <v>0</v>
      </c>
      <c r="D18" s="59" t="n">
        <v>0</v>
      </c>
      <c r="E18" s="58" t="n">
        <v>0</v>
      </c>
      <c r="F18" s="59" t="n">
        <v>0</v>
      </c>
      <c r="G18" s="58" t="n">
        <v>0</v>
      </c>
      <c r="H18" s="59" t="n">
        <v>0</v>
      </c>
      <c r="I18" s="58" t="n">
        <v>1</v>
      </c>
      <c r="J18" s="59" t="n">
        <v>1</v>
      </c>
      <c r="K18" s="58" t="n">
        <v>1</v>
      </c>
      <c r="L18" s="59" t="n">
        <v>1</v>
      </c>
    </row>
    <row r="19" customFormat="false" ht="15" hidden="false" customHeight="false" outlineLevel="0" collapsed="false">
      <c r="A19" s="57"/>
      <c r="B19" s="58" t="s">
        <v>33</v>
      </c>
      <c r="C19" s="58" t="n">
        <v>0</v>
      </c>
      <c r="D19" s="59" t="n">
        <v>0</v>
      </c>
      <c r="E19" s="58" t="n">
        <v>0</v>
      </c>
      <c r="F19" s="59" t="n">
        <v>0</v>
      </c>
      <c r="G19" s="58" t="n">
        <v>0</v>
      </c>
      <c r="H19" s="59" t="n">
        <v>0</v>
      </c>
      <c r="I19" s="58" t="n">
        <v>0</v>
      </c>
      <c r="J19" s="59" t="n">
        <v>0</v>
      </c>
      <c r="K19" s="58" t="n">
        <v>0</v>
      </c>
      <c r="L19" s="59" t="n">
        <v>0</v>
      </c>
    </row>
    <row r="20" customFormat="false" ht="15" hidden="false" customHeight="false" outlineLevel="0" collapsed="false">
      <c r="A20" s="60"/>
      <c r="B20" s="61" t="s">
        <v>22</v>
      </c>
      <c r="C20" s="62" t="n">
        <v>0</v>
      </c>
      <c r="D20" s="63" t="n">
        <v>0</v>
      </c>
      <c r="E20" s="62" t="n">
        <v>0</v>
      </c>
      <c r="F20" s="63" t="n">
        <v>0</v>
      </c>
      <c r="G20" s="62" t="n">
        <v>0</v>
      </c>
      <c r="H20" s="63" t="n">
        <v>0</v>
      </c>
      <c r="I20" s="62" t="n">
        <v>1</v>
      </c>
      <c r="J20" s="63" t="n">
        <v>1</v>
      </c>
      <c r="K20" s="62" t="n">
        <v>1</v>
      </c>
      <c r="L20" s="63" t="n">
        <v>1</v>
      </c>
    </row>
    <row r="21" customFormat="false" ht="15" hidden="false" customHeight="false" outlineLevel="0" collapsed="false">
      <c r="A21" s="57" t="s">
        <v>85</v>
      </c>
      <c r="B21" s="58" t="s">
        <v>35</v>
      </c>
      <c r="C21" s="58" t="n">
        <v>0</v>
      </c>
      <c r="D21" s="59" t="n">
        <v>0</v>
      </c>
      <c r="E21" s="58" t="n">
        <v>0</v>
      </c>
      <c r="F21" s="59" t="n">
        <v>0</v>
      </c>
      <c r="G21" s="58" t="n">
        <v>2</v>
      </c>
      <c r="H21" s="59" t="n">
        <v>1</v>
      </c>
      <c r="I21" s="58" t="n">
        <v>1</v>
      </c>
      <c r="J21" s="59" t="n">
        <v>0.25</v>
      </c>
      <c r="K21" s="58" t="n">
        <v>3</v>
      </c>
      <c r="L21" s="59" t="n">
        <v>0.5</v>
      </c>
    </row>
    <row r="22" customFormat="false" ht="15" hidden="false" customHeight="false" outlineLevel="0" collapsed="false">
      <c r="A22" s="57"/>
      <c r="B22" s="58" t="s">
        <v>36</v>
      </c>
      <c r="C22" s="58" t="n">
        <v>0</v>
      </c>
      <c r="D22" s="59" t="n">
        <v>0</v>
      </c>
      <c r="E22" s="58" t="n">
        <v>0</v>
      </c>
      <c r="F22" s="59" t="n">
        <v>0</v>
      </c>
      <c r="G22" s="58" t="n">
        <v>0</v>
      </c>
      <c r="H22" s="59" t="n">
        <v>0</v>
      </c>
      <c r="I22" s="58" t="n">
        <v>2</v>
      </c>
      <c r="J22" s="59" t="n">
        <v>0.5</v>
      </c>
      <c r="K22" s="58" t="n">
        <v>2</v>
      </c>
      <c r="L22" s="59" t="n">
        <v>0.333333333333333</v>
      </c>
    </row>
    <row r="23" customFormat="false" ht="15" hidden="false" customHeight="false" outlineLevel="0" collapsed="false">
      <c r="A23" s="57"/>
      <c r="B23" s="58" t="s">
        <v>37</v>
      </c>
      <c r="C23" s="58" t="n">
        <v>0</v>
      </c>
      <c r="D23" s="59" t="n">
        <v>0</v>
      </c>
      <c r="E23" s="58" t="n">
        <v>0</v>
      </c>
      <c r="F23" s="59" t="n">
        <v>0</v>
      </c>
      <c r="G23" s="58" t="n">
        <v>0</v>
      </c>
      <c r="H23" s="59" t="n">
        <v>0</v>
      </c>
      <c r="I23" s="58" t="n">
        <v>1</v>
      </c>
      <c r="J23" s="59" t="n">
        <v>0.25</v>
      </c>
      <c r="K23" s="58" t="n">
        <v>1</v>
      </c>
      <c r="L23" s="59" t="n">
        <v>0.166666666666667</v>
      </c>
    </row>
    <row r="24" customFormat="false" ht="15" hidden="false" customHeight="false" outlineLevel="0" collapsed="false">
      <c r="A24" s="60"/>
      <c r="B24" s="61" t="s">
        <v>22</v>
      </c>
      <c r="C24" s="62" t="n">
        <v>0</v>
      </c>
      <c r="D24" s="63" t="n">
        <v>0</v>
      </c>
      <c r="E24" s="62" t="n">
        <v>0</v>
      </c>
      <c r="F24" s="63" t="n">
        <v>0</v>
      </c>
      <c r="G24" s="62" t="n">
        <v>2</v>
      </c>
      <c r="H24" s="63" t="n">
        <v>1</v>
      </c>
      <c r="I24" s="62" t="n">
        <v>4</v>
      </c>
      <c r="J24" s="63" t="n">
        <v>1</v>
      </c>
      <c r="K24" s="62" t="n">
        <v>6</v>
      </c>
      <c r="L24" s="63" t="n">
        <v>1</v>
      </c>
    </row>
    <row r="25" customFormat="false" ht="15" hidden="false" customHeight="false" outlineLevel="0" collapsed="false">
      <c r="A25" s="57" t="s">
        <v>86</v>
      </c>
      <c r="B25" s="58" t="s">
        <v>39</v>
      </c>
      <c r="C25" s="58" t="n">
        <v>0</v>
      </c>
      <c r="D25" s="59" t="n">
        <v>0</v>
      </c>
      <c r="E25" s="58" t="n">
        <v>0</v>
      </c>
      <c r="F25" s="59" t="n">
        <v>0</v>
      </c>
      <c r="G25" s="58" t="n">
        <v>0</v>
      </c>
      <c r="H25" s="59" t="n">
        <v>0</v>
      </c>
      <c r="I25" s="58" t="n">
        <v>0</v>
      </c>
      <c r="J25" s="59" t="n">
        <v>0</v>
      </c>
      <c r="K25" s="58" t="n">
        <v>0</v>
      </c>
      <c r="L25" s="59" t="n">
        <v>0</v>
      </c>
    </row>
    <row r="26" customFormat="false" ht="15" hidden="false" customHeight="false" outlineLevel="0" collapsed="false">
      <c r="A26" s="57"/>
      <c r="B26" s="58" t="s">
        <v>40</v>
      </c>
      <c r="C26" s="58" t="n">
        <v>0</v>
      </c>
      <c r="D26" s="59" t="n">
        <v>0</v>
      </c>
      <c r="E26" s="58" t="n">
        <v>0</v>
      </c>
      <c r="F26" s="59" t="n">
        <v>0</v>
      </c>
      <c r="G26" s="58" t="n">
        <v>0</v>
      </c>
      <c r="H26" s="59" t="n">
        <v>0</v>
      </c>
      <c r="I26" s="58" t="n">
        <v>2</v>
      </c>
      <c r="J26" s="59" t="n">
        <v>0.166666666666667</v>
      </c>
      <c r="K26" s="58" t="n">
        <v>2</v>
      </c>
      <c r="L26" s="59" t="n">
        <v>0.1</v>
      </c>
    </row>
    <row r="27" customFormat="false" ht="15" hidden="false" customHeight="false" outlineLevel="0" collapsed="false">
      <c r="A27" s="57"/>
      <c r="B27" s="58" t="s">
        <v>41</v>
      </c>
      <c r="C27" s="58" t="n">
        <v>2</v>
      </c>
      <c r="D27" s="59" t="n">
        <v>1</v>
      </c>
      <c r="E27" s="58" t="n">
        <v>5</v>
      </c>
      <c r="F27" s="59" t="n">
        <v>1</v>
      </c>
      <c r="G27" s="58" t="n">
        <v>1</v>
      </c>
      <c r="H27" s="59" t="n">
        <v>1</v>
      </c>
      <c r="I27" s="58" t="n">
        <v>8</v>
      </c>
      <c r="J27" s="59" t="n">
        <v>0.666666666666667</v>
      </c>
      <c r="K27" s="58" t="n">
        <v>16</v>
      </c>
      <c r="L27" s="59" t="n">
        <v>0.8</v>
      </c>
    </row>
    <row r="28" customFormat="false" ht="15" hidden="false" customHeight="false" outlineLevel="0" collapsed="false">
      <c r="A28" s="57"/>
      <c r="B28" s="58" t="s">
        <v>42</v>
      </c>
      <c r="C28" s="58" t="n">
        <v>0</v>
      </c>
      <c r="D28" s="59" t="n">
        <v>0</v>
      </c>
      <c r="E28" s="58" t="n">
        <v>0</v>
      </c>
      <c r="F28" s="59" t="n">
        <v>0</v>
      </c>
      <c r="G28" s="58" t="n">
        <v>0</v>
      </c>
      <c r="H28" s="59" t="n">
        <v>0</v>
      </c>
      <c r="I28" s="58" t="n">
        <v>2</v>
      </c>
      <c r="J28" s="59" t="n">
        <v>0.166666666666667</v>
      </c>
      <c r="K28" s="58" t="n">
        <v>2</v>
      </c>
      <c r="L28" s="59" t="n">
        <v>0.1</v>
      </c>
    </row>
    <row r="29" customFormat="false" ht="15" hidden="false" customHeight="false" outlineLevel="0" collapsed="false">
      <c r="A29" s="60"/>
      <c r="B29" s="61" t="s">
        <v>22</v>
      </c>
      <c r="C29" s="62" t="n">
        <v>2</v>
      </c>
      <c r="D29" s="64" t="n">
        <v>1</v>
      </c>
      <c r="E29" s="62" t="n">
        <v>5</v>
      </c>
      <c r="F29" s="64" t="n">
        <v>1</v>
      </c>
      <c r="G29" s="62" t="n">
        <v>1</v>
      </c>
      <c r="H29" s="64" t="n">
        <v>1</v>
      </c>
      <c r="I29" s="62" t="n">
        <v>12</v>
      </c>
      <c r="J29" s="64" t="n">
        <v>1</v>
      </c>
      <c r="K29" s="62" t="n">
        <v>20</v>
      </c>
      <c r="L29" s="64" t="n">
        <v>1</v>
      </c>
    </row>
    <row r="30" customFormat="false" ht="15" hidden="false" customHeight="false" outlineLevel="0" collapsed="false">
      <c r="A30" s="57" t="s">
        <v>87</v>
      </c>
      <c r="B30" s="58" t="s">
        <v>44</v>
      </c>
      <c r="C30" s="58" t="n">
        <v>0</v>
      </c>
      <c r="D30" s="59" t="n">
        <v>0</v>
      </c>
      <c r="E30" s="58" t="n">
        <v>1</v>
      </c>
      <c r="F30" s="59" t="n">
        <v>0.142857142857143</v>
      </c>
      <c r="G30" s="58" t="n">
        <v>1</v>
      </c>
      <c r="H30" s="59" t="n">
        <v>0.25</v>
      </c>
      <c r="I30" s="58" t="n">
        <v>17</v>
      </c>
      <c r="J30" s="59" t="n">
        <v>0.30188679245283</v>
      </c>
      <c r="K30" s="58" t="n">
        <v>19</v>
      </c>
      <c r="L30" s="59" t="n">
        <v>0.257142857142857</v>
      </c>
    </row>
    <row r="31" customFormat="false" ht="15" hidden="false" customHeight="false" outlineLevel="0" collapsed="false">
      <c r="A31" s="57"/>
      <c r="B31" s="58" t="s">
        <v>45</v>
      </c>
      <c r="C31" s="58" t="n">
        <v>0</v>
      </c>
      <c r="D31" s="59" t="n">
        <v>0</v>
      </c>
      <c r="E31" s="58" t="n">
        <v>0</v>
      </c>
      <c r="F31" s="59" t="n">
        <v>0</v>
      </c>
      <c r="G31" s="58" t="n">
        <v>0</v>
      </c>
      <c r="H31" s="59" t="n">
        <v>0</v>
      </c>
      <c r="I31" s="58" t="n">
        <v>1</v>
      </c>
      <c r="J31" s="59" t="n">
        <v>0.0188679245283019</v>
      </c>
      <c r="K31" s="58" t="n">
        <v>1</v>
      </c>
      <c r="L31" s="59" t="n">
        <v>0.0142857142857143</v>
      </c>
    </row>
    <row r="32" customFormat="false" ht="15" hidden="false" customHeight="false" outlineLevel="0" collapsed="false">
      <c r="A32" s="57"/>
      <c r="B32" s="58" t="s">
        <v>46</v>
      </c>
      <c r="C32" s="58" t="n">
        <v>6</v>
      </c>
      <c r="D32" s="59" t="n">
        <v>1</v>
      </c>
      <c r="E32" s="58" t="n">
        <v>6</v>
      </c>
      <c r="F32" s="59" t="n">
        <v>0.857142857142857</v>
      </c>
      <c r="G32" s="58" t="n">
        <v>3</v>
      </c>
      <c r="H32" s="59" t="n">
        <v>0.75</v>
      </c>
      <c r="I32" s="58" t="n">
        <v>42</v>
      </c>
      <c r="J32" s="59" t="n">
        <v>0.679245283018868</v>
      </c>
      <c r="K32" s="58" t="n">
        <v>57</v>
      </c>
      <c r="L32" s="59" t="n">
        <v>0.728571428571429</v>
      </c>
    </row>
    <row r="33" customFormat="false" ht="15" hidden="false" customHeight="false" outlineLevel="0" collapsed="false">
      <c r="A33" s="60"/>
      <c r="B33" s="61" t="s">
        <v>22</v>
      </c>
      <c r="C33" s="62" t="n">
        <v>6</v>
      </c>
      <c r="D33" s="63" t="n">
        <v>1</v>
      </c>
      <c r="E33" s="62" t="n">
        <v>7</v>
      </c>
      <c r="F33" s="63" t="n">
        <v>1</v>
      </c>
      <c r="G33" s="62" t="n">
        <v>4</v>
      </c>
      <c r="H33" s="63" t="n">
        <v>1</v>
      </c>
      <c r="I33" s="62" t="n">
        <v>60</v>
      </c>
      <c r="J33" s="63" t="n">
        <v>1</v>
      </c>
      <c r="K33" s="62" t="n">
        <v>77</v>
      </c>
      <c r="L33" s="63" t="n">
        <v>1</v>
      </c>
    </row>
    <row r="34" customFormat="false" ht="15" hidden="false" customHeight="false" outlineLevel="0" collapsed="false">
      <c r="A34" s="57" t="s">
        <v>90</v>
      </c>
      <c r="B34" s="58" t="s">
        <v>91</v>
      </c>
      <c r="C34" s="58" t="n">
        <v>0</v>
      </c>
      <c r="D34" s="59" t="n">
        <v>0</v>
      </c>
      <c r="E34" s="58" t="n">
        <v>0</v>
      </c>
      <c r="F34" s="59" t="n">
        <v>0</v>
      </c>
      <c r="G34" s="58" t="n">
        <v>0</v>
      </c>
      <c r="H34" s="59" t="n">
        <v>0</v>
      </c>
      <c r="I34" s="58" t="n">
        <v>0</v>
      </c>
      <c r="J34" s="59" t="n">
        <v>0</v>
      </c>
      <c r="K34" s="58" t="n">
        <v>0</v>
      </c>
      <c r="L34" s="59" t="n">
        <v>0</v>
      </c>
    </row>
    <row r="35" customFormat="false" ht="15" hidden="false" customHeight="false" outlineLevel="0" collapsed="false">
      <c r="A35" s="57"/>
      <c r="B35" s="58" t="s">
        <v>92</v>
      </c>
      <c r="C35" s="58" t="n">
        <v>4</v>
      </c>
      <c r="D35" s="59" t="n">
        <v>0.307692307692308</v>
      </c>
      <c r="E35" s="58" t="n">
        <v>2</v>
      </c>
      <c r="F35" s="59" t="n">
        <v>0.285714285714286</v>
      </c>
      <c r="G35" s="58" t="n">
        <v>2</v>
      </c>
      <c r="H35" s="59" t="n">
        <v>0.25</v>
      </c>
      <c r="I35" s="58" t="n">
        <v>16</v>
      </c>
      <c r="J35" s="59" t="n">
        <v>0.17283950617284</v>
      </c>
      <c r="K35" s="58" t="n">
        <v>24</v>
      </c>
      <c r="L35" s="59" t="n">
        <v>0.201834862385321</v>
      </c>
    </row>
    <row r="36" customFormat="false" ht="15" hidden="false" customHeight="false" outlineLevel="0" collapsed="false">
      <c r="A36" s="57"/>
      <c r="B36" s="58" t="s">
        <v>93</v>
      </c>
      <c r="C36" s="58" t="n">
        <v>0</v>
      </c>
      <c r="D36" s="59" t="n">
        <v>0</v>
      </c>
      <c r="E36" s="58" t="n">
        <v>0</v>
      </c>
      <c r="F36" s="59" t="n">
        <v>0</v>
      </c>
      <c r="G36" s="58" t="n">
        <v>0</v>
      </c>
      <c r="H36" s="59" t="n">
        <v>0</v>
      </c>
      <c r="I36" s="58" t="n">
        <v>0</v>
      </c>
      <c r="J36" s="59" t="n">
        <v>0</v>
      </c>
      <c r="K36" s="58" t="n">
        <v>0</v>
      </c>
      <c r="L36" s="59" t="n">
        <v>0</v>
      </c>
    </row>
    <row r="37" customFormat="false" ht="15" hidden="false" customHeight="false" outlineLevel="0" collapsed="false">
      <c r="A37" s="57"/>
      <c r="B37" s="58" t="s">
        <v>94</v>
      </c>
      <c r="C37" s="58" t="n">
        <v>1</v>
      </c>
      <c r="D37" s="59" t="n">
        <v>0.0769230769230769</v>
      </c>
      <c r="E37" s="58" t="n">
        <v>2</v>
      </c>
      <c r="F37" s="59" t="n">
        <v>0.285714285714286</v>
      </c>
      <c r="G37" s="58" t="n">
        <v>2</v>
      </c>
      <c r="H37" s="59" t="n">
        <v>0.25</v>
      </c>
      <c r="I37" s="58" t="n">
        <v>15</v>
      </c>
      <c r="J37" s="59" t="n">
        <v>0.160493827160494</v>
      </c>
      <c r="K37" s="58" t="n">
        <v>20</v>
      </c>
      <c r="L37" s="59" t="n">
        <v>0.165137614678899</v>
      </c>
    </row>
    <row r="38" customFormat="false" ht="15" hidden="false" customHeight="false" outlineLevel="0" collapsed="false">
      <c r="A38" s="57"/>
      <c r="B38" s="58" t="s">
        <v>95</v>
      </c>
      <c r="C38" s="58" t="n">
        <v>2</v>
      </c>
      <c r="D38" s="59" t="n">
        <v>0.153846153846154</v>
      </c>
      <c r="E38" s="58" t="n">
        <v>2</v>
      </c>
      <c r="F38" s="59" t="n">
        <v>0.285714285714286</v>
      </c>
      <c r="G38" s="58" t="n">
        <v>0</v>
      </c>
      <c r="H38" s="59" t="n">
        <v>0</v>
      </c>
      <c r="I38" s="58" t="n">
        <v>21</v>
      </c>
      <c r="J38" s="59" t="n">
        <v>0.246913580246914</v>
      </c>
      <c r="K38" s="58" t="n">
        <v>25</v>
      </c>
      <c r="L38" s="59" t="n">
        <v>0.220183486238532</v>
      </c>
    </row>
    <row r="39" customFormat="false" ht="15" hidden="false" customHeight="false" outlineLevel="0" collapsed="false">
      <c r="A39" s="57"/>
      <c r="B39" s="58" t="s">
        <v>96</v>
      </c>
      <c r="C39" s="58" t="n">
        <v>5</v>
      </c>
      <c r="D39" s="59" t="n">
        <v>0.384615384615385</v>
      </c>
      <c r="E39" s="58" t="n">
        <v>1</v>
      </c>
      <c r="F39" s="59" t="n">
        <v>0.142857142857143</v>
      </c>
      <c r="G39" s="58" t="n">
        <v>2</v>
      </c>
      <c r="H39" s="59" t="n">
        <v>0.25</v>
      </c>
      <c r="I39" s="58" t="n">
        <v>21</v>
      </c>
      <c r="J39" s="59" t="n">
        <v>0.234567901234568</v>
      </c>
      <c r="K39" s="58" t="n">
        <v>29</v>
      </c>
      <c r="L39" s="59" t="n">
        <v>0.247706422018349</v>
      </c>
    </row>
    <row r="40" customFormat="false" ht="15" hidden="false" customHeight="false" outlineLevel="0" collapsed="false">
      <c r="A40" s="57"/>
      <c r="B40" s="58" t="s">
        <v>97</v>
      </c>
      <c r="C40" s="58" t="n">
        <v>0</v>
      </c>
      <c r="D40" s="59" t="n">
        <v>0</v>
      </c>
      <c r="E40" s="58" t="n">
        <v>0</v>
      </c>
      <c r="F40" s="59" t="n">
        <v>0</v>
      </c>
      <c r="G40" s="58" t="n">
        <v>1</v>
      </c>
      <c r="H40" s="59" t="n">
        <v>0.125</v>
      </c>
      <c r="I40" s="58" t="n">
        <v>11</v>
      </c>
      <c r="J40" s="59" t="n">
        <v>0.123456790123457</v>
      </c>
      <c r="K40" s="58" t="n">
        <v>12</v>
      </c>
      <c r="L40" s="59" t="n">
        <v>0.100917431192661</v>
      </c>
    </row>
    <row r="41" customFormat="false" ht="15" hidden="false" customHeight="false" outlineLevel="0" collapsed="false">
      <c r="A41" s="57"/>
      <c r="B41" s="58" t="s">
        <v>98</v>
      </c>
      <c r="C41" s="58" t="n">
        <v>0</v>
      </c>
      <c r="D41" s="59" t="n">
        <v>0</v>
      </c>
      <c r="E41" s="58" t="n">
        <v>0</v>
      </c>
      <c r="F41" s="59" t="n">
        <v>0</v>
      </c>
      <c r="G41" s="58" t="n">
        <v>0</v>
      </c>
      <c r="H41" s="59" t="n">
        <v>0</v>
      </c>
      <c r="I41" s="58" t="n">
        <v>0</v>
      </c>
      <c r="J41" s="59" t="n">
        <v>0</v>
      </c>
      <c r="K41" s="58" t="n">
        <v>0</v>
      </c>
      <c r="L41" s="59" t="n">
        <v>0</v>
      </c>
    </row>
    <row r="42" customFormat="false" ht="15" hidden="false" customHeight="false" outlineLevel="0" collapsed="false">
      <c r="A42" s="57"/>
      <c r="B42" s="58" t="s">
        <v>99</v>
      </c>
      <c r="C42" s="58" t="n">
        <v>1</v>
      </c>
      <c r="D42" s="59" t="n">
        <v>0.0769230769230769</v>
      </c>
      <c r="E42" s="58" t="n">
        <v>0</v>
      </c>
      <c r="F42" s="59" t="n">
        <v>0</v>
      </c>
      <c r="G42" s="58" t="n">
        <v>1</v>
      </c>
      <c r="H42" s="59" t="n">
        <v>0.125</v>
      </c>
      <c r="I42" s="58" t="n">
        <v>5</v>
      </c>
      <c r="J42" s="59" t="n">
        <v>0.0617283950617284</v>
      </c>
      <c r="K42" s="58" t="n">
        <v>7</v>
      </c>
      <c r="L42" s="59" t="n">
        <v>0.0642201834862385</v>
      </c>
    </row>
    <row r="43" customFormat="false" ht="15" hidden="false" customHeight="false" outlineLevel="0" collapsed="false">
      <c r="A43" s="60"/>
      <c r="B43" s="61" t="s">
        <v>22</v>
      </c>
      <c r="C43" s="62" t="n">
        <v>13</v>
      </c>
      <c r="D43" s="63" t="n">
        <v>1</v>
      </c>
      <c r="E43" s="62" t="n">
        <v>7</v>
      </c>
      <c r="F43" s="63" t="n">
        <v>1</v>
      </c>
      <c r="G43" s="62" t="n">
        <v>8</v>
      </c>
      <c r="H43" s="63" t="n">
        <v>1</v>
      </c>
      <c r="I43" s="62" t="n">
        <v>89</v>
      </c>
      <c r="J43" s="63" t="n">
        <v>1</v>
      </c>
      <c r="K43" s="62" t="n">
        <v>117</v>
      </c>
      <c r="L43" s="63" t="n">
        <v>1</v>
      </c>
    </row>
    <row r="44" customFormat="false" ht="15" hidden="false" customHeight="false" outlineLevel="0" collapsed="false">
      <c r="A44" s="57" t="s">
        <v>100</v>
      </c>
      <c r="B44" s="58" t="s">
        <v>101</v>
      </c>
      <c r="C44" s="58" t="n">
        <v>7</v>
      </c>
      <c r="D44" s="59" t="n">
        <v>0.466666666666667</v>
      </c>
      <c r="E44" s="58" t="n">
        <v>6</v>
      </c>
      <c r="F44" s="65" t="n">
        <v>0.6</v>
      </c>
      <c r="G44" s="58" t="n">
        <v>0</v>
      </c>
      <c r="H44" s="65" t="n">
        <v>0</v>
      </c>
      <c r="I44" s="58" t="n">
        <v>22</v>
      </c>
      <c r="J44" s="65" t="n">
        <v>0.346153846153846</v>
      </c>
      <c r="K44" s="58" t="n">
        <v>35</v>
      </c>
      <c r="L44" s="59" t="n">
        <v>0.3875</v>
      </c>
    </row>
    <row r="45" customFormat="false" ht="15" hidden="false" customHeight="false" outlineLevel="0" collapsed="false">
      <c r="A45" s="57"/>
      <c r="B45" s="58" t="s">
        <v>102</v>
      </c>
      <c r="C45" s="58" t="n">
        <v>0</v>
      </c>
      <c r="D45" s="59" t="n">
        <v>0</v>
      </c>
      <c r="E45" s="58" t="n">
        <v>0</v>
      </c>
      <c r="F45" s="65" t="n">
        <v>0</v>
      </c>
      <c r="G45" s="58" t="n">
        <v>0</v>
      </c>
      <c r="H45" s="65" t="n">
        <v>0</v>
      </c>
      <c r="I45" s="58" t="n">
        <v>0</v>
      </c>
      <c r="J45" s="65" t="n">
        <v>0</v>
      </c>
      <c r="K45" s="58" t="n">
        <v>0</v>
      </c>
      <c r="L45" s="59" t="n">
        <v>0</v>
      </c>
    </row>
    <row r="46" customFormat="false" ht="15" hidden="false" customHeight="false" outlineLevel="0" collapsed="false">
      <c r="A46" s="57"/>
      <c r="B46" s="58" t="s">
        <v>103</v>
      </c>
      <c r="C46" s="58" t="n">
        <v>1</v>
      </c>
      <c r="D46" s="59" t="n">
        <v>0.0666666666666667</v>
      </c>
      <c r="E46" s="58" t="n">
        <v>0</v>
      </c>
      <c r="F46" s="65" t="n">
        <v>0</v>
      </c>
      <c r="G46" s="58" t="n">
        <v>0</v>
      </c>
      <c r="H46" s="65" t="n">
        <v>0</v>
      </c>
      <c r="I46" s="58" t="n">
        <v>0</v>
      </c>
      <c r="J46" s="65" t="n">
        <v>0</v>
      </c>
      <c r="K46" s="58" t="n">
        <v>1</v>
      </c>
      <c r="L46" s="59" t="n">
        <v>0.0125</v>
      </c>
    </row>
    <row r="47" customFormat="false" ht="15" hidden="false" customHeight="false" outlineLevel="0" collapsed="false">
      <c r="A47" s="57"/>
      <c r="B47" s="58" t="s">
        <v>104</v>
      </c>
      <c r="C47" s="58" t="n">
        <v>0</v>
      </c>
      <c r="D47" s="59" t="n">
        <v>0</v>
      </c>
      <c r="E47" s="58" t="n">
        <v>0</v>
      </c>
      <c r="F47" s="65" t="n">
        <v>0</v>
      </c>
      <c r="G47" s="58" t="n">
        <v>0</v>
      </c>
      <c r="H47" s="65" t="n">
        <v>0</v>
      </c>
      <c r="I47" s="58" t="n">
        <v>0</v>
      </c>
      <c r="J47" s="65" t="n">
        <v>0</v>
      </c>
      <c r="K47" s="58" t="n">
        <v>0</v>
      </c>
      <c r="L47" s="59" t="n">
        <v>0</v>
      </c>
    </row>
    <row r="48" customFormat="false" ht="15" hidden="false" customHeight="false" outlineLevel="0" collapsed="false">
      <c r="A48" s="57"/>
      <c r="B48" s="58" t="s">
        <v>105</v>
      </c>
      <c r="C48" s="58" t="n">
        <v>0</v>
      </c>
      <c r="D48" s="59" t="n">
        <v>0</v>
      </c>
      <c r="E48" s="58" t="n">
        <v>0</v>
      </c>
      <c r="F48" s="65" t="n">
        <v>0</v>
      </c>
      <c r="G48" s="58" t="n">
        <v>0</v>
      </c>
      <c r="H48" s="65" t="n">
        <v>0</v>
      </c>
      <c r="I48" s="58" t="n">
        <v>0</v>
      </c>
      <c r="J48" s="65" t="n">
        <v>0</v>
      </c>
      <c r="K48" s="58" t="n">
        <v>0</v>
      </c>
      <c r="L48" s="59" t="n">
        <v>0</v>
      </c>
    </row>
    <row r="49" customFormat="false" ht="15" hidden="false" customHeight="false" outlineLevel="0" collapsed="false">
      <c r="A49" s="57"/>
      <c r="B49" s="58" t="s">
        <v>106</v>
      </c>
      <c r="C49" s="58" t="n">
        <v>0</v>
      </c>
      <c r="D49" s="59" t="n">
        <v>0</v>
      </c>
      <c r="E49" s="58" t="n">
        <v>0</v>
      </c>
      <c r="F49" s="65" t="n">
        <v>0</v>
      </c>
      <c r="G49" s="58" t="n">
        <v>0</v>
      </c>
      <c r="H49" s="65" t="n">
        <v>0</v>
      </c>
      <c r="I49" s="58" t="n">
        <v>0</v>
      </c>
      <c r="J49" s="65" t="n">
        <v>0</v>
      </c>
      <c r="K49" s="58" t="n">
        <v>0</v>
      </c>
      <c r="L49" s="59" t="n">
        <v>0</v>
      </c>
    </row>
    <row r="50" customFormat="false" ht="15" hidden="false" customHeight="false" outlineLevel="0" collapsed="false">
      <c r="A50" s="57"/>
      <c r="B50" s="58" t="s">
        <v>107</v>
      </c>
      <c r="C50" s="58" t="n">
        <v>0</v>
      </c>
      <c r="D50" s="59" t="n">
        <v>0</v>
      </c>
      <c r="E50" s="58" t="n">
        <v>0</v>
      </c>
      <c r="F50" s="65" t="n">
        <v>0</v>
      </c>
      <c r="G50" s="58" t="n">
        <v>0</v>
      </c>
      <c r="H50" s="65" t="n">
        <v>0</v>
      </c>
      <c r="I50" s="58" t="n">
        <v>0</v>
      </c>
      <c r="J50" s="65" t="n">
        <v>0</v>
      </c>
      <c r="K50" s="58" t="n">
        <v>0</v>
      </c>
      <c r="L50" s="59" t="n">
        <v>0</v>
      </c>
    </row>
    <row r="51" customFormat="false" ht="15" hidden="false" customHeight="false" outlineLevel="0" collapsed="false">
      <c r="A51" s="57"/>
      <c r="B51" s="58" t="s">
        <v>108</v>
      </c>
      <c r="C51" s="58" t="n">
        <v>0</v>
      </c>
      <c r="D51" s="59" t="n">
        <v>0</v>
      </c>
      <c r="E51" s="58" t="n">
        <v>0</v>
      </c>
      <c r="F51" s="65" t="n">
        <v>0</v>
      </c>
      <c r="G51" s="58" t="n">
        <v>0</v>
      </c>
      <c r="H51" s="65" t="n">
        <v>0</v>
      </c>
      <c r="I51" s="58" t="n">
        <v>3</v>
      </c>
      <c r="J51" s="65" t="n">
        <v>0.0576923076923077</v>
      </c>
      <c r="K51" s="58" t="n">
        <v>3</v>
      </c>
      <c r="L51" s="59" t="n">
        <v>0.0375</v>
      </c>
    </row>
    <row r="52" customFormat="false" ht="15" hidden="false" customHeight="false" outlineLevel="0" collapsed="false">
      <c r="A52" s="57"/>
      <c r="B52" s="58" t="s">
        <v>109</v>
      </c>
      <c r="C52" s="58" t="n">
        <v>3</v>
      </c>
      <c r="D52" s="59" t="n">
        <v>0.2</v>
      </c>
      <c r="E52" s="58" t="n">
        <v>2</v>
      </c>
      <c r="F52" s="65" t="n">
        <v>0.2</v>
      </c>
      <c r="G52" s="58" t="n">
        <v>3</v>
      </c>
      <c r="H52" s="65" t="n">
        <v>1</v>
      </c>
      <c r="I52" s="58" t="n">
        <v>19</v>
      </c>
      <c r="J52" s="65" t="n">
        <v>0.307692307692308</v>
      </c>
      <c r="K52" s="58" t="n">
        <v>27</v>
      </c>
      <c r="L52" s="59" t="n">
        <v>0.3</v>
      </c>
    </row>
    <row r="53" customFormat="false" ht="15" hidden="false" customHeight="false" outlineLevel="0" collapsed="false">
      <c r="A53" s="57"/>
      <c r="B53" s="58" t="s">
        <v>110</v>
      </c>
      <c r="C53" s="58" t="n">
        <v>1</v>
      </c>
      <c r="D53" s="59" t="n">
        <v>0.0666666666666667</v>
      </c>
      <c r="E53" s="58" t="n">
        <v>2</v>
      </c>
      <c r="F53" s="65" t="n">
        <v>0.2</v>
      </c>
      <c r="G53" s="58" t="n">
        <v>0</v>
      </c>
      <c r="H53" s="65" t="n">
        <v>0</v>
      </c>
      <c r="I53" s="58" t="n">
        <v>5</v>
      </c>
      <c r="J53" s="65" t="n">
        <v>0.0769230769230769</v>
      </c>
      <c r="K53" s="58" t="n">
        <v>8</v>
      </c>
      <c r="L53" s="59" t="n">
        <v>0.0875</v>
      </c>
    </row>
    <row r="54" customFormat="false" ht="15" hidden="false" customHeight="false" outlineLevel="0" collapsed="false">
      <c r="A54" s="57"/>
      <c r="B54" s="58" t="s">
        <v>111</v>
      </c>
      <c r="C54" s="58" t="n">
        <v>0</v>
      </c>
      <c r="D54" s="59" t="n">
        <v>0</v>
      </c>
      <c r="E54" s="58" t="n">
        <v>0</v>
      </c>
      <c r="F54" s="65" t="n">
        <v>0</v>
      </c>
      <c r="G54" s="58" t="n">
        <v>0</v>
      </c>
      <c r="H54" s="65" t="n">
        <v>0</v>
      </c>
      <c r="I54" s="58" t="n">
        <v>0</v>
      </c>
      <c r="J54" s="65" t="n">
        <v>0</v>
      </c>
      <c r="K54" s="58" t="n">
        <v>0</v>
      </c>
      <c r="L54" s="59" t="n">
        <v>0</v>
      </c>
    </row>
    <row r="55" customFormat="false" ht="15" hidden="false" customHeight="false" outlineLevel="0" collapsed="false">
      <c r="A55" s="57"/>
      <c r="B55" s="58" t="s">
        <v>112</v>
      </c>
      <c r="C55" s="58" t="n">
        <v>0</v>
      </c>
      <c r="D55" s="59" t="n">
        <v>0</v>
      </c>
      <c r="E55" s="58" t="n">
        <v>0</v>
      </c>
      <c r="F55" s="65" t="n">
        <v>0</v>
      </c>
      <c r="G55" s="58" t="n">
        <v>0</v>
      </c>
      <c r="H55" s="65" t="n">
        <v>0</v>
      </c>
      <c r="I55" s="58" t="n">
        <v>0</v>
      </c>
      <c r="J55" s="65" t="n">
        <v>0</v>
      </c>
      <c r="K55" s="58" t="n">
        <v>0</v>
      </c>
      <c r="L55" s="59" t="n">
        <v>0</v>
      </c>
    </row>
    <row r="56" customFormat="false" ht="15" hidden="false" customHeight="false" outlineLevel="0" collapsed="false">
      <c r="A56" s="57"/>
      <c r="B56" s="58" t="s">
        <v>113</v>
      </c>
      <c r="C56" s="58" t="n">
        <v>0</v>
      </c>
      <c r="D56" s="59" t="n">
        <v>0</v>
      </c>
      <c r="E56" s="58" t="n">
        <v>0</v>
      </c>
      <c r="F56" s="65" t="n">
        <v>0</v>
      </c>
      <c r="G56" s="58" t="n">
        <v>0</v>
      </c>
      <c r="H56" s="65" t="n">
        <v>0</v>
      </c>
      <c r="I56" s="58" t="n">
        <v>0</v>
      </c>
      <c r="J56" s="65" t="n">
        <v>0</v>
      </c>
      <c r="K56" s="58" t="n">
        <v>0</v>
      </c>
      <c r="L56" s="59" t="n">
        <v>0</v>
      </c>
    </row>
    <row r="57" customFormat="false" ht="15" hidden="false" customHeight="false" outlineLevel="0" collapsed="false">
      <c r="A57" s="57"/>
      <c r="B57" s="58" t="s">
        <v>114</v>
      </c>
      <c r="C57" s="58" t="n">
        <v>0</v>
      </c>
      <c r="D57" s="59" t="n">
        <v>0</v>
      </c>
      <c r="E57" s="58" t="n">
        <v>0</v>
      </c>
      <c r="F57" s="65" t="n">
        <v>0</v>
      </c>
      <c r="G57" s="58" t="n">
        <v>0</v>
      </c>
      <c r="H57" s="65" t="n">
        <v>0</v>
      </c>
      <c r="I57" s="58" t="n">
        <v>0</v>
      </c>
      <c r="J57" s="65" t="n">
        <v>0</v>
      </c>
      <c r="K57" s="58" t="n">
        <v>0</v>
      </c>
      <c r="L57" s="59" t="n">
        <v>0</v>
      </c>
    </row>
    <row r="58" customFormat="false" ht="15" hidden="false" customHeight="false" outlineLevel="0" collapsed="false">
      <c r="A58" s="57"/>
      <c r="B58" s="58" t="s">
        <v>115</v>
      </c>
      <c r="C58" s="58" t="n">
        <v>3</v>
      </c>
      <c r="D58" s="59" t="n">
        <v>0.2</v>
      </c>
      <c r="E58" s="58" t="n">
        <v>0</v>
      </c>
      <c r="F58" s="65" t="n">
        <v>0</v>
      </c>
      <c r="G58" s="58" t="n">
        <v>0</v>
      </c>
      <c r="H58" s="65" t="n">
        <v>0</v>
      </c>
      <c r="I58" s="58" t="n">
        <v>11</v>
      </c>
      <c r="J58" s="65" t="n">
        <v>0.211538461538462</v>
      </c>
      <c r="K58" s="58" t="n">
        <v>14</v>
      </c>
      <c r="L58" s="59" t="n">
        <v>0.175</v>
      </c>
    </row>
    <row r="59" customFormat="false" ht="15" hidden="false" customHeight="false" outlineLevel="0" collapsed="false">
      <c r="A59" s="57"/>
      <c r="B59" s="58" t="s">
        <v>116</v>
      </c>
      <c r="C59" s="58" t="n">
        <v>0</v>
      </c>
      <c r="D59" s="59" t="n">
        <v>0</v>
      </c>
      <c r="E59" s="58" t="n">
        <v>0</v>
      </c>
      <c r="F59" s="65" t="n">
        <v>0</v>
      </c>
      <c r="G59" s="58" t="n">
        <v>0</v>
      </c>
      <c r="H59" s="65" t="n">
        <v>0</v>
      </c>
      <c r="I59" s="58" t="n">
        <v>1</v>
      </c>
      <c r="J59" s="65" t="n">
        <v>0</v>
      </c>
      <c r="K59" s="58" t="n">
        <v>1</v>
      </c>
      <c r="L59" s="59" t="n">
        <v>0</v>
      </c>
    </row>
    <row r="60" customFormat="false" ht="15" hidden="false" customHeight="false" outlineLevel="0" collapsed="false">
      <c r="A60" s="60"/>
      <c r="B60" s="61" t="s">
        <v>22</v>
      </c>
      <c r="C60" s="62" t="n">
        <v>15</v>
      </c>
      <c r="D60" s="63" t="n">
        <v>1</v>
      </c>
      <c r="E60" s="62" t="n">
        <v>10</v>
      </c>
      <c r="F60" s="63" t="n">
        <v>1</v>
      </c>
      <c r="G60" s="62" t="n">
        <v>3</v>
      </c>
      <c r="H60" s="63" t="n">
        <v>1</v>
      </c>
      <c r="I60" s="62" t="n">
        <v>61</v>
      </c>
      <c r="J60" s="63" t="n">
        <v>1</v>
      </c>
      <c r="K60" s="62" t="n">
        <v>89</v>
      </c>
      <c r="L60" s="63" t="n">
        <v>1</v>
      </c>
    </row>
    <row r="61" customFormat="false" ht="15" hidden="false" customHeight="false" outlineLevel="0" collapsed="false">
      <c r="A61" s="66"/>
      <c r="B61" s="67" t="s">
        <v>74</v>
      </c>
      <c r="C61" s="68" t="n">
        <v>36</v>
      </c>
      <c r="D61" s="69" t="n">
        <v>0.111801242236025</v>
      </c>
      <c r="E61" s="68" t="n">
        <v>31</v>
      </c>
      <c r="F61" s="69" t="n">
        <v>0.0962732919254658</v>
      </c>
      <c r="G61" s="68" t="n">
        <v>18</v>
      </c>
      <c r="H61" s="69" t="n">
        <v>0.0559006211180124</v>
      </c>
      <c r="I61" s="68" t="n">
        <v>237</v>
      </c>
      <c r="J61" s="69" t="n">
        <v>0.736024844720497</v>
      </c>
      <c r="K61" s="68" t="n">
        <v>322</v>
      </c>
      <c r="L61" s="70" t="n">
        <v>1</v>
      </c>
    </row>
    <row r="62" customFormat="false" ht="15" hidden="false" customHeight="false" outlineLevel="0" collapsed="false">
      <c r="A62" s="34" t="s">
        <v>118</v>
      </c>
    </row>
  </sheetData>
  <mergeCells count="9">
    <mergeCell ref="A1:L1"/>
    <mergeCell ref="C2:J2"/>
    <mergeCell ref="A3:A4"/>
    <mergeCell ref="B3:B4"/>
    <mergeCell ref="C3:D3"/>
    <mergeCell ref="E3:F3"/>
    <mergeCell ref="G3:H3"/>
    <mergeCell ref="I3:J3"/>
    <mergeCell ref="K3:L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outlineLevelRow="0" outlineLevelCol="0"/>
  <cols>
    <col collapsed="false" customWidth="true" hidden="false" outlineLevel="0" max="1" min="1" style="0" width="15.71"/>
    <col collapsed="false" customWidth="true" hidden="false" outlineLevel="0" max="2" min="2" style="0" width="17.29"/>
    <col collapsed="false" customWidth="true" hidden="false" outlineLevel="0" max="1025" min="3" style="0" width="8.67"/>
  </cols>
  <sheetData>
    <row r="1" customFormat="false" ht="15" hidden="false" customHeight="false" outlineLevel="0" collapsed="false">
      <c r="A1" s="35" t="s">
        <v>137</v>
      </c>
      <c r="B1" s="35"/>
      <c r="C1" s="35"/>
      <c r="D1" s="35"/>
      <c r="E1" s="35"/>
      <c r="F1" s="35"/>
      <c r="G1" s="35"/>
      <c r="H1" s="35"/>
      <c r="I1" s="35"/>
    </row>
    <row r="2" customFormat="false" ht="15" hidden="false" customHeight="false" outlineLevel="0" collapsed="false">
      <c r="A2" s="35"/>
      <c r="B2" s="35" t="s">
        <v>1</v>
      </c>
      <c r="C2" s="35" t="s">
        <v>138</v>
      </c>
      <c r="D2" s="35" t="s">
        <v>139</v>
      </c>
      <c r="E2" s="35" t="s">
        <v>140</v>
      </c>
      <c r="F2" s="35" t="s">
        <v>141</v>
      </c>
      <c r="G2" s="35" t="s">
        <v>142</v>
      </c>
      <c r="H2" s="35" t="s">
        <v>143</v>
      </c>
      <c r="I2" s="35"/>
    </row>
    <row r="3" customFormat="false" ht="25.5" hidden="false" customHeight="false" outlineLevel="0" collapsed="false">
      <c r="A3" s="39" t="s">
        <v>2</v>
      </c>
      <c r="B3" s="39" t="s">
        <v>121</v>
      </c>
      <c r="C3" s="71" t="s">
        <v>144</v>
      </c>
      <c r="D3" s="71" t="s">
        <v>145</v>
      </c>
      <c r="E3" s="71" t="s">
        <v>146</v>
      </c>
      <c r="F3" s="71" t="s">
        <v>147</v>
      </c>
      <c r="G3" s="71" t="s">
        <v>148</v>
      </c>
      <c r="H3" s="71" t="s">
        <v>127</v>
      </c>
      <c r="I3" s="71" t="s">
        <v>80</v>
      </c>
    </row>
    <row r="4" customFormat="false" ht="15" hidden="false" customHeight="false" outlineLevel="0" collapsed="false">
      <c r="A4" s="24" t="s">
        <v>81</v>
      </c>
      <c r="B4" s="25" t="s">
        <v>18</v>
      </c>
      <c r="C4" s="25" t="n">
        <v>0</v>
      </c>
      <c r="D4" s="25" t="n">
        <v>0</v>
      </c>
      <c r="E4" s="25" t="n">
        <v>0</v>
      </c>
      <c r="F4" s="25" t="n">
        <v>0</v>
      </c>
      <c r="G4" s="25" t="n">
        <v>0</v>
      </c>
      <c r="H4" s="25" t="n">
        <v>0</v>
      </c>
      <c r="I4" s="72" t="n">
        <v>0</v>
      </c>
    </row>
    <row r="5" customFormat="false" ht="15" hidden="false" customHeight="false" outlineLevel="0" collapsed="false">
      <c r="A5" s="26"/>
      <c r="B5" s="25" t="s">
        <v>19</v>
      </c>
      <c r="C5" s="25" t="n">
        <v>3</v>
      </c>
      <c r="D5" s="25" t="n">
        <v>3</v>
      </c>
      <c r="E5" s="25" t="n">
        <v>1</v>
      </c>
      <c r="F5" s="25" t="n">
        <v>10</v>
      </c>
      <c r="G5" s="25" t="n">
        <v>1</v>
      </c>
      <c r="H5" s="25" t="n">
        <v>0</v>
      </c>
      <c r="I5" s="72" t="n">
        <v>18</v>
      </c>
    </row>
    <row r="6" customFormat="false" ht="15" hidden="false" customHeight="false" outlineLevel="0" collapsed="false">
      <c r="A6" s="26"/>
      <c r="B6" s="25" t="s">
        <v>20</v>
      </c>
      <c r="C6" s="25" t="n">
        <v>0</v>
      </c>
      <c r="D6" s="25" t="n">
        <v>0</v>
      </c>
      <c r="E6" s="25" t="n">
        <v>0</v>
      </c>
      <c r="F6" s="25" t="n">
        <v>0</v>
      </c>
      <c r="G6" s="25" t="n">
        <v>0</v>
      </c>
      <c r="H6" s="25" t="n">
        <v>0</v>
      </c>
      <c r="I6" s="72" t="n">
        <v>0</v>
      </c>
    </row>
    <row r="7" customFormat="false" ht="15" hidden="false" customHeight="false" outlineLevel="0" collapsed="false">
      <c r="A7" s="26"/>
      <c r="B7" s="25" t="s">
        <v>21</v>
      </c>
      <c r="C7" s="25" t="n">
        <v>2</v>
      </c>
      <c r="D7" s="25" t="n">
        <v>1</v>
      </c>
      <c r="E7" s="25" t="n">
        <v>8</v>
      </c>
      <c r="F7" s="25" t="n">
        <v>4</v>
      </c>
      <c r="G7" s="25" t="n">
        <v>0</v>
      </c>
      <c r="H7" s="25" t="n">
        <v>0</v>
      </c>
      <c r="I7" s="72" t="n">
        <v>15</v>
      </c>
    </row>
    <row r="8" customFormat="false" ht="15" hidden="false" customHeight="false" outlineLevel="0" collapsed="false">
      <c r="A8" s="27"/>
      <c r="B8" s="28" t="s">
        <v>22</v>
      </c>
      <c r="C8" s="27" t="n">
        <v>5</v>
      </c>
      <c r="D8" s="27" t="n">
        <v>4</v>
      </c>
      <c r="E8" s="27" t="n">
        <v>9</v>
      </c>
      <c r="F8" s="27" t="n">
        <v>14</v>
      </c>
      <c r="G8" s="27" t="n">
        <v>1</v>
      </c>
      <c r="H8" s="27" t="n">
        <v>0</v>
      </c>
      <c r="I8" s="73" t="n">
        <v>33</v>
      </c>
    </row>
    <row r="9" customFormat="false" ht="15" hidden="false" customHeight="false" outlineLevel="0" collapsed="false">
      <c r="A9" s="24" t="s">
        <v>82</v>
      </c>
      <c r="B9" s="25" t="s">
        <v>24</v>
      </c>
      <c r="C9" s="25" t="n">
        <v>0</v>
      </c>
      <c r="D9" s="25" t="n">
        <v>0</v>
      </c>
      <c r="E9" s="25" t="n">
        <v>0</v>
      </c>
      <c r="F9" s="25" t="n">
        <v>0</v>
      </c>
      <c r="G9" s="25" t="n">
        <v>0</v>
      </c>
      <c r="H9" s="25" t="n">
        <v>0</v>
      </c>
      <c r="I9" s="72" t="n">
        <v>0</v>
      </c>
    </row>
    <row r="10" customFormat="false" ht="15" hidden="false" customHeight="false" outlineLevel="0" collapsed="false">
      <c r="A10" s="29"/>
      <c r="B10" s="25" t="s">
        <v>25</v>
      </c>
      <c r="C10" s="25" t="n">
        <v>2</v>
      </c>
      <c r="D10" s="25" t="n">
        <v>5</v>
      </c>
      <c r="E10" s="25" t="n">
        <v>3</v>
      </c>
      <c r="F10" s="25" t="n">
        <v>4</v>
      </c>
      <c r="G10" s="25" t="n">
        <v>0</v>
      </c>
      <c r="H10" s="25" t="n">
        <v>0</v>
      </c>
      <c r="I10" s="72" t="n">
        <v>14</v>
      </c>
    </row>
    <row r="11" customFormat="false" ht="15" hidden="false" customHeight="false" outlineLevel="0" collapsed="false">
      <c r="A11" s="29"/>
      <c r="B11" s="25" t="s">
        <v>26</v>
      </c>
      <c r="C11" s="25" t="n">
        <v>0</v>
      </c>
      <c r="D11" s="25" t="n">
        <v>0</v>
      </c>
      <c r="E11" s="25" t="n">
        <v>2</v>
      </c>
      <c r="F11" s="25" t="n">
        <v>2</v>
      </c>
      <c r="G11" s="25" t="n">
        <v>0</v>
      </c>
      <c r="H11" s="25" t="n">
        <v>0</v>
      </c>
      <c r="I11" s="72" t="n">
        <v>4</v>
      </c>
    </row>
    <row r="12" customFormat="false" ht="15" hidden="false" customHeight="false" outlineLevel="0" collapsed="false">
      <c r="A12" s="29"/>
      <c r="B12" s="25" t="s">
        <v>27</v>
      </c>
      <c r="C12" s="25" t="n">
        <v>2</v>
      </c>
      <c r="D12" s="25" t="n">
        <v>2</v>
      </c>
      <c r="E12" s="25" t="n">
        <v>1</v>
      </c>
      <c r="F12" s="25" t="n">
        <v>4</v>
      </c>
      <c r="G12" s="25" t="n">
        <v>1</v>
      </c>
      <c r="H12" s="25" t="n">
        <v>0</v>
      </c>
      <c r="I12" s="72" t="n">
        <v>10</v>
      </c>
    </row>
    <row r="13" customFormat="false" ht="15" hidden="false" customHeight="false" outlineLevel="0" collapsed="false">
      <c r="A13" s="27"/>
      <c r="B13" s="28" t="s">
        <v>22</v>
      </c>
      <c r="C13" s="27" t="n">
        <v>4</v>
      </c>
      <c r="D13" s="27" t="n">
        <v>7</v>
      </c>
      <c r="E13" s="27" t="n">
        <v>6</v>
      </c>
      <c r="F13" s="27" t="n">
        <v>10</v>
      </c>
      <c r="G13" s="27" t="n">
        <v>1</v>
      </c>
      <c r="H13" s="27" t="n">
        <v>0</v>
      </c>
      <c r="I13" s="73" t="n">
        <v>28</v>
      </c>
    </row>
    <row r="14" customFormat="false" ht="15" hidden="false" customHeight="false" outlineLevel="0" collapsed="false">
      <c r="A14" s="24" t="s">
        <v>83</v>
      </c>
      <c r="B14" s="25" t="s">
        <v>29</v>
      </c>
      <c r="C14" s="25" t="n">
        <v>0</v>
      </c>
      <c r="D14" s="25" t="n">
        <v>0</v>
      </c>
      <c r="E14" s="25" t="n">
        <v>0</v>
      </c>
      <c r="F14" s="25" t="n">
        <v>0</v>
      </c>
      <c r="G14" s="25" t="n">
        <v>0</v>
      </c>
      <c r="H14" s="25" t="n">
        <v>0</v>
      </c>
      <c r="I14" s="72" t="n">
        <v>0</v>
      </c>
    </row>
    <row r="15" customFormat="false" ht="15" hidden="false" customHeight="false" outlineLevel="0" collapsed="false">
      <c r="A15" s="27"/>
      <c r="B15" s="28" t="s">
        <v>22</v>
      </c>
      <c r="C15" s="27" t="n">
        <v>0</v>
      </c>
      <c r="D15" s="27" t="n">
        <v>0</v>
      </c>
      <c r="E15" s="27" t="n">
        <v>0</v>
      </c>
      <c r="F15" s="27" t="n">
        <v>0</v>
      </c>
      <c r="G15" s="27" t="n">
        <v>0</v>
      </c>
      <c r="H15" s="27" t="n">
        <v>0</v>
      </c>
      <c r="I15" s="73" t="n">
        <v>0</v>
      </c>
    </row>
    <row r="16" customFormat="false" ht="15" hidden="false" customHeight="false" outlineLevel="0" collapsed="false">
      <c r="A16" s="24" t="s">
        <v>84</v>
      </c>
      <c r="B16" s="25" t="s">
        <v>31</v>
      </c>
      <c r="C16" s="25" t="n">
        <v>0</v>
      </c>
      <c r="D16" s="25" t="n">
        <v>0</v>
      </c>
      <c r="E16" s="25" t="n">
        <v>0</v>
      </c>
      <c r="F16" s="25" t="n">
        <v>0</v>
      </c>
      <c r="G16" s="25" t="n">
        <v>0</v>
      </c>
      <c r="H16" s="25" t="n">
        <v>0</v>
      </c>
      <c r="I16" s="72" t="n">
        <v>0</v>
      </c>
    </row>
    <row r="17" customFormat="false" ht="15" hidden="false" customHeight="false" outlineLevel="0" collapsed="false">
      <c r="A17" s="25"/>
      <c r="B17" s="25" t="s">
        <v>32</v>
      </c>
      <c r="C17" s="25" t="n">
        <v>0</v>
      </c>
      <c r="D17" s="25" t="n">
        <v>0</v>
      </c>
      <c r="E17" s="25" t="n">
        <v>1</v>
      </c>
      <c r="F17" s="25" t="n">
        <v>2</v>
      </c>
      <c r="G17" s="25" t="n">
        <v>0</v>
      </c>
      <c r="H17" s="25" t="n">
        <v>0</v>
      </c>
      <c r="I17" s="72" t="n">
        <v>3</v>
      </c>
    </row>
    <row r="18" customFormat="false" ht="15" hidden="false" customHeight="false" outlineLevel="0" collapsed="false">
      <c r="A18" s="25"/>
      <c r="B18" s="25" t="s">
        <v>33</v>
      </c>
      <c r="C18" s="25" t="n">
        <v>0</v>
      </c>
      <c r="D18" s="25" t="n">
        <v>0</v>
      </c>
      <c r="E18" s="25" t="n">
        <v>0</v>
      </c>
      <c r="F18" s="25" t="n">
        <v>0</v>
      </c>
      <c r="G18" s="25" t="n">
        <v>0</v>
      </c>
      <c r="H18" s="25" t="n">
        <v>0</v>
      </c>
      <c r="I18" s="72" t="n">
        <v>0</v>
      </c>
    </row>
    <row r="19" customFormat="false" ht="15" hidden="false" customHeight="false" outlineLevel="0" collapsed="false">
      <c r="A19" s="27"/>
      <c r="B19" s="28" t="s">
        <v>22</v>
      </c>
      <c r="C19" s="27" t="n">
        <v>0</v>
      </c>
      <c r="D19" s="27" t="n">
        <v>0</v>
      </c>
      <c r="E19" s="27" t="n">
        <v>1</v>
      </c>
      <c r="F19" s="27" t="n">
        <v>2</v>
      </c>
      <c r="G19" s="27" t="n">
        <v>0</v>
      </c>
      <c r="H19" s="27" t="n">
        <v>0</v>
      </c>
      <c r="I19" s="73" t="n">
        <v>3</v>
      </c>
    </row>
    <row r="20" customFormat="false" ht="15" hidden="false" customHeight="false" outlineLevel="0" collapsed="false">
      <c r="A20" s="24" t="s">
        <v>85</v>
      </c>
      <c r="B20" s="25" t="s">
        <v>35</v>
      </c>
      <c r="C20" s="25" t="n">
        <v>3</v>
      </c>
      <c r="D20" s="25" t="n">
        <v>6</v>
      </c>
      <c r="E20" s="25" t="n">
        <v>0</v>
      </c>
      <c r="F20" s="25" t="n">
        <v>5</v>
      </c>
      <c r="G20" s="25" t="n">
        <v>0</v>
      </c>
      <c r="H20" s="25" t="n">
        <v>0</v>
      </c>
      <c r="I20" s="72" t="n">
        <v>14</v>
      </c>
    </row>
    <row r="21" customFormat="false" ht="15" hidden="false" customHeight="false" outlineLevel="0" collapsed="false">
      <c r="A21" s="25"/>
      <c r="B21" s="25" t="s">
        <v>36</v>
      </c>
      <c r="C21" s="25" t="n">
        <v>0</v>
      </c>
      <c r="D21" s="25" t="n">
        <v>2</v>
      </c>
      <c r="E21" s="25" t="n">
        <v>5</v>
      </c>
      <c r="F21" s="25" t="n">
        <v>6</v>
      </c>
      <c r="G21" s="25" t="n">
        <v>0</v>
      </c>
      <c r="H21" s="25" t="n">
        <v>0</v>
      </c>
      <c r="I21" s="72" t="n">
        <v>13</v>
      </c>
    </row>
    <row r="22" customFormat="false" ht="15" hidden="false" customHeight="false" outlineLevel="0" collapsed="false">
      <c r="A22" s="25"/>
      <c r="B22" s="25" t="s">
        <v>37</v>
      </c>
      <c r="C22" s="25" t="n">
        <v>0</v>
      </c>
      <c r="D22" s="25" t="n">
        <v>0</v>
      </c>
      <c r="E22" s="25" t="n">
        <v>0</v>
      </c>
      <c r="F22" s="25" t="n">
        <v>0</v>
      </c>
      <c r="G22" s="25" t="n">
        <v>2</v>
      </c>
      <c r="H22" s="25" t="n">
        <v>0</v>
      </c>
      <c r="I22" s="72" t="n">
        <v>2</v>
      </c>
    </row>
    <row r="23" customFormat="false" ht="15" hidden="false" customHeight="false" outlineLevel="0" collapsed="false">
      <c r="A23" s="27"/>
      <c r="B23" s="28" t="s">
        <v>22</v>
      </c>
      <c r="C23" s="27" t="n">
        <v>3</v>
      </c>
      <c r="D23" s="27" t="n">
        <v>8</v>
      </c>
      <c r="E23" s="27" t="n">
        <v>5</v>
      </c>
      <c r="F23" s="27" t="n">
        <v>11</v>
      </c>
      <c r="G23" s="27" t="n">
        <v>2</v>
      </c>
      <c r="H23" s="27" t="n">
        <v>0</v>
      </c>
      <c r="I23" s="73" t="n">
        <v>29</v>
      </c>
    </row>
    <row r="24" customFormat="false" ht="15" hidden="false" customHeight="false" outlineLevel="0" collapsed="false">
      <c r="A24" s="24" t="s">
        <v>86</v>
      </c>
      <c r="B24" s="25" t="s">
        <v>39</v>
      </c>
      <c r="C24" s="25" t="n">
        <v>0</v>
      </c>
      <c r="D24" s="25" t="n">
        <v>0</v>
      </c>
      <c r="E24" s="25" t="n">
        <v>0</v>
      </c>
      <c r="F24" s="25" t="n">
        <v>0</v>
      </c>
      <c r="G24" s="25" t="n">
        <v>0</v>
      </c>
      <c r="H24" s="25" t="n">
        <v>0</v>
      </c>
      <c r="I24" s="72" t="n">
        <v>0</v>
      </c>
    </row>
    <row r="25" customFormat="false" ht="15" hidden="false" customHeight="false" outlineLevel="0" collapsed="false">
      <c r="A25" s="25"/>
      <c r="B25" s="25" t="s">
        <v>40</v>
      </c>
      <c r="C25" s="25" t="n">
        <v>2</v>
      </c>
      <c r="D25" s="25" t="n">
        <v>3</v>
      </c>
      <c r="E25" s="25" t="n">
        <v>2</v>
      </c>
      <c r="F25" s="25" t="n">
        <v>5</v>
      </c>
      <c r="G25" s="25" t="n">
        <v>0</v>
      </c>
      <c r="H25" s="25" t="n">
        <v>0</v>
      </c>
      <c r="I25" s="72" t="n">
        <v>12</v>
      </c>
    </row>
    <row r="26" customFormat="false" ht="15" hidden="false" customHeight="false" outlineLevel="0" collapsed="false">
      <c r="A26" s="25"/>
      <c r="B26" s="25" t="s">
        <v>41</v>
      </c>
      <c r="C26" s="25" t="n">
        <v>9</v>
      </c>
      <c r="D26" s="25" t="n">
        <v>13</v>
      </c>
      <c r="E26" s="25" t="n">
        <v>23</v>
      </c>
      <c r="F26" s="25" t="n">
        <v>27</v>
      </c>
      <c r="G26" s="25" t="n">
        <v>8</v>
      </c>
      <c r="H26" s="25" t="n">
        <v>0</v>
      </c>
      <c r="I26" s="72" t="n">
        <v>80</v>
      </c>
    </row>
    <row r="27" customFormat="false" ht="15" hidden="false" customHeight="false" outlineLevel="0" collapsed="false">
      <c r="A27" s="25"/>
      <c r="B27" s="25" t="s">
        <v>42</v>
      </c>
      <c r="C27" s="25" t="n">
        <v>0</v>
      </c>
      <c r="D27" s="25" t="n">
        <v>4</v>
      </c>
      <c r="E27" s="25" t="n">
        <v>1</v>
      </c>
      <c r="F27" s="25" t="n">
        <v>4</v>
      </c>
      <c r="G27" s="25" t="n">
        <v>0</v>
      </c>
      <c r="H27" s="25" t="n">
        <v>0</v>
      </c>
      <c r="I27" s="72" t="n">
        <v>9</v>
      </c>
    </row>
    <row r="28" customFormat="false" ht="15" hidden="false" customHeight="false" outlineLevel="0" collapsed="false">
      <c r="A28" s="27"/>
      <c r="B28" s="28" t="s">
        <v>22</v>
      </c>
      <c r="C28" s="27" t="n">
        <v>11</v>
      </c>
      <c r="D28" s="27" t="n">
        <v>20</v>
      </c>
      <c r="E28" s="27" t="n">
        <v>26</v>
      </c>
      <c r="F28" s="27" t="n">
        <v>36</v>
      </c>
      <c r="G28" s="27" t="n">
        <v>8</v>
      </c>
      <c r="H28" s="27" t="n">
        <v>0</v>
      </c>
      <c r="I28" s="73" t="n">
        <v>101</v>
      </c>
    </row>
    <row r="29" customFormat="false" ht="15" hidden="false" customHeight="false" outlineLevel="0" collapsed="false">
      <c r="A29" s="24" t="s">
        <v>87</v>
      </c>
      <c r="B29" s="25" t="s">
        <v>44</v>
      </c>
      <c r="C29" s="25" t="n">
        <v>13</v>
      </c>
      <c r="D29" s="25" t="n">
        <v>16</v>
      </c>
      <c r="E29" s="25" t="n">
        <v>22</v>
      </c>
      <c r="F29" s="25" t="n">
        <v>24</v>
      </c>
      <c r="G29" s="25" t="n">
        <v>9</v>
      </c>
      <c r="H29" s="25" t="n">
        <v>0</v>
      </c>
      <c r="I29" s="72" t="n">
        <v>84</v>
      </c>
    </row>
    <row r="30" customFormat="false" ht="15" hidden="false" customHeight="false" outlineLevel="0" collapsed="false">
      <c r="A30" s="25"/>
      <c r="B30" s="25" t="s">
        <v>45</v>
      </c>
      <c r="C30" s="25" t="n">
        <v>0</v>
      </c>
      <c r="D30" s="25" t="n">
        <v>0</v>
      </c>
      <c r="E30" s="25" t="n">
        <v>0</v>
      </c>
      <c r="F30" s="25" t="n">
        <v>0</v>
      </c>
      <c r="G30" s="25" t="n">
        <v>0</v>
      </c>
      <c r="H30" s="25" t="n">
        <v>0</v>
      </c>
      <c r="I30" s="72" t="n">
        <v>0</v>
      </c>
    </row>
    <row r="31" customFormat="false" ht="15" hidden="false" customHeight="false" outlineLevel="0" collapsed="false">
      <c r="A31" s="25"/>
      <c r="B31" s="25" t="s">
        <v>46</v>
      </c>
      <c r="C31" s="25" t="n">
        <v>29</v>
      </c>
      <c r="D31" s="25" t="n">
        <v>40</v>
      </c>
      <c r="E31" s="25" t="n">
        <v>69</v>
      </c>
      <c r="F31" s="25" t="n">
        <v>74</v>
      </c>
      <c r="G31" s="25" t="n">
        <v>16</v>
      </c>
      <c r="H31" s="25" t="n">
        <v>6</v>
      </c>
      <c r="I31" s="72" t="n">
        <v>234</v>
      </c>
    </row>
    <row r="32" customFormat="false" ht="15" hidden="false" customHeight="false" outlineLevel="0" collapsed="false">
      <c r="A32" s="27"/>
      <c r="B32" s="28" t="s">
        <v>22</v>
      </c>
      <c r="C32" s="27" t="n">
        <v>42</v>
      </c>
      <c r="D32" s="27" t="n">
        <v>56</v>
      </c>
      <c r="E32" s="27" t="n">
        <v>91</v>
      </c>
      <c r="F32" s="27" t="n">
        <v>98</v>
      </c>
      <c r="G32" s="27" t="n">
        <v>25</v>
      </c>
      <c r="H32" s="27" t="n">
        <v>6</v>
      </c>
      <c r="I32" s="73" t="n">
        <v>318</v>
      </c>
    </row>
    <row r="33" customFormat="false" ht="15" hidden="false" customHeight="false" outlineLevel="0" collapsed="false">
      <c r="A33" s="24" t="s">
        <v>90</v>
      </c>
      <c r="B33" s="25" t="s">
        <v>91</v>
      </c>
      <c r="C33" s="25" t="n">
        <v>0</v>
      </c>
      <c r="D33" s="25" t="n">
        <v>0</v>
      </c>
      <c r="E33" s="25" t="n">
        <v>0</v>
      </c>
      <c r="F33" s="25" t="n">
        <v>0</v>
      </c>
      <c r="G33" s="25" t="n">
        <v>0</v>
      </c>
      <c r="H33" s="25" t="n">
        <v>0</v>
      </c>
      <c r="I33" s="72" t="n">
        <v>0</v>
      </c>
    </row>
    <row r="34" customFormat="false" ht="15" hidden="false" customHeight="false" outlineLevel="0" collapsed="false">
      <c r="A34" s="25"/>
      <c r="B34" s="25" t="s">
        <v>92</v>
      </c>
      <c r="C34" s="25" t="n">
        <v>12</v>
      </c>
      <c r="D34" s="25" t="n">
        <v>9</v>
      </c>
      <c r="E34" s="25" t="n">
        <v>36</v>
      </c>
      <c r="F34" s="25" t="n">
        <v>30</v>
      </c>
      <c r="G34" s="25" t="n">
        <v>5</v>
      </c>
      <c r="H34" s="25" t="n">
        <v>1</v>
      </c>
      <c r="I34" s="72" t="n">
        <v>93</v>
      </c>
    </row>
    <row r="35" customFormat="false" ht="15" hidden="false" customHeight="false" outlineLevel="0" collapsed="false">
      <c r="A35" s="25"/>
      <c r="B35" s="25" t="s">
        <v>93</v>
      </c>
      <c r="C35" s="25" t="n">
        <v>0</v>
      </c>
      <c r="D35" s="25" t="n">
        <v>0</v>
      </c>
      <c r="E35" s="25" t="n">
        <v>0</v>
      </c>
      <c r="F35" s="25" t="n">
        <v>0</v>
      </c>
      <c r="G35" s="25" t="n">
        <v>0</v>
      </c>
      <c r="H35" s="25" t="n">
        <v>0</v>
      </c>
      <c r="I35" s="72" t="n">
        <v>0</v>
      </c>
    </row>
    <row r="36" customFormat="false" ht="15" hidden="false" customHeight="false" outlineLevel="0" collapsed="false">
      <c r="A36" s="25"/>
      <c r="B36" s="25" t="s">
        <v>94</v>
      </c>
      <c r="C36" s="25" t="n">
        <v>18</v>
      </c>
      <c r="D36" s="25" t="n">
        <v>27</v>
      </c>
      <c r="E36" s="25" t="n">
        <v>35</v>
      </c>
      <c r="F36" s="25" t="n">
        <v>35</v>
      </c>
      <c r="G36" s="25" t="n">
        <v>6</v>
      </c>
      <c r="H36" s="25" t="n">
        <v>0</v>
      </c>
      <c r="I36" s="72" t="n">
        <v>121</v>
      </c>
    </row>
    <row r="37" customFormat="false" ht="15" hidden="false" customHeight="false" outlineLevel="0" collapsed="false">
      <c r="A37" s="25"/>
      <c r="B37" s="25" t="s">
        <v>95</v>
      </c>
      <c r="C37" s="25" t="n">
        <v>9</v>
      </c>
      <c r="D37" s="25" t="n">
        <v>17</v>
      </c>
      <c r="E37" s="25" t="n">
        <v>31</v>
      </c>
      <c r="F37" s="25" t="n">
        <v>30</v>
      </c>
      <c r="G37" s="25" t="n">
        <v>7</v>
      </c>
      <c r="H37" s="25" t="n">
        <v>0</v>
      </c>
      <c r="I37" s="72" t="n">
        <v>94</v>
      </c>
    </row>
    <row r="38" customFormat="false" ht="15" hidden="false" customHeight="false" outlineLevel="0" collapsed="false">
      <c r="A38" s="25"/>
      <c r="B38" s="25" t="s">
        <v>96</v>
      </c>
      <c r="C38" s="25" t="n">
        <v>15</v>
      </c>
      <c r="D38" s="25" t="n">
        <v>28</v>
      </c>
      <c r="E38" s="25" t="n">
        <v>34</v>
      </c>
      <c r="F38" s="25" t="n">
        <v>36</v>
      </c>
      <c r="G38" s="25" t="n">
        <v>9</v>
      </c>
      <c r="H38" s="25" t="n">
        <v>0</v>
      </c>
      <c r="I38" s="72" t="n">
        <v>122</v>
      </c>
    </row>
    <row r="39" customFormat="false" ht="15" hidden="false" customHeight="false" outlineLevel="0" collapsed="false">
      <c r="A39" s="25"/>
      <c r="B39" s="25" t="s">
        <v>97</v>
      </c>
      <c r="C39" s="25" t="n">
        <v>5</v>
      </c>
      <c r="D39" s="25" t="n">
        <v>7</v>
      </c>
      <c r="E39" s="25" t="n">
        <v>18</v>
      </c>
      <c r="F39" s="25" t="n">
        <v>16</v>
      </c>
      <c r="G39" s="25" t="n">
        <v>8</v>
      </c>
      <c r="H39" s="25" t="n">
        <v>0</v>
      </c>
      <c r="I39" s="72" t="n">
        <v>54</v>
      </c>
    </row>
    <row r="40" customFormat="false" ht="15" hidden="false" customHeight="false" outlineLevel="0" collapsed="false">
      <c r="A40" s="25"/>
      <c r="B40" s="25" t="s">
        <v>98</v>
      </c>
      <c r="C40" s="25" t="n">
        <v>0</v>
      </c>
      <c r="D40" s="25" t="n">
        <v>0</v>
      </c>
      <c r="E40" s="25" t="n">
        <v>0</v>
      </c>
      <c r="F40" s="25" t="n">
        <v>0</v>
      </c>
      <c r="G40" s="25" t="n">
        <v>0</v>
      </c>
      <c r="H40" s="25" t="n">
        <v>0</v>
      </c>
      <c r="I40" s="72" t="n">
        <v>0</v>
      </c>
    </row>
    <row r="41" customFormat="false" ht="15" hidden="false" customHeight="false" outlineLevel="0" collapsed="false">
      <c r="A41" s="25"/>
      <c r="B41" s="25" t="s">
        <v>99</v>
      </c>
      <c r="C41" s="25" t="n">
        <v>3</v>
      </c>
      <c r="D41" s="25" t="n">
        <v>5</v>
      </c>
      <c r="E41" s="25" t="n">
        <v>9</v>
      </c>
      <c r="F41" s="25" t="n">
        <v>9</v>
      </c>
      <c r="G41" s="25" t="n">
        <v>1</v>
      </c>
      <c r="H41" s="25" t="n">
        <v>0</v>
      </c>
      <c r="I41" s="72" t="n">
        <v>27</v>
      </c>
    </row>
    <row r="42" customFormat="false" ht="15" hidden="false" customHeight="false" outlineLevel="0" collapsed="false">
      <c r="A42" s="27"/>
      <c r="B42" s="28" t="s">
        <v>22</v>
      </c>
      <c r="C42" s="27" t="n">
        <v>62</v>
      </c>
      <c r="D42" s="27" t="n">
        <v>93</v>
      </c>
      <c r="E42" s="27" t="n">
        <v>163</v>
      </c>
      <c r="F42" s="27" t="n">
        <v>156</v>
      </c>
      <c r="G42" s="27" t="n">
        <v>36</v>
      </c>
      <c r="H42" s="27" t="n">
        <v>1</v>
      </c>
      <c r="I42" s="73" t="n">
        <v>511</v>
      </c>
    </row>
    <row r="43" customFormat="false" ht="15" hidden="false" customHeight="false" outlineLevel="0" collapsed="false">
      <c r="A43" s="24" t="s">
        <v>100</v>
      </c>
      <c r="B43" s="25" t="s">
        <v>101</v>
      </c>
      <c r="C43" s="25" t="n">
        <v>11</v>
      </c>
      <c r="D43" s="25" t="n">
        <v>17</v>
      </c>
      <c r="E43" s="25" t="n">
        <v>44</v>
      </c>
      <c r="F43" s="25" t="n">
        <v>35</v>
      </c>
      <c r="G43" s="25" t="n">
        <v>8</v>
      </c>
      <c r="H43" s="25" t="n">
        <v>1</v>
      </c>
      <c r="I43" s="72" t="n">
        <v>116</v>
      </c>
    </row>
    <row r="44" customFormat="false" ht="15" hidden="false" customHeight="false" outlineLevel="0" collapsed="false">
      <c r="A44" s="25"/>
      <c r="B44" s="25" t="s">
        <v>102</v>
      </c>
      <c r="C44" s="25" t="n">
        <v>0</v>
      </c>
      <c r="D44" s="25" t="n">
        <v>0</v>
      </c>
      <c r="E44" s="25" t="n">
        <v>0</v>
      </c>
      <c r="F44" s="25" t="n">
        <v>0</v>
      </c>
      <c r="G44" s="25" t="n">
        <v>0</v>
      </c>
      <c r="H44" s="25" t="n">
        <v>0</v>
      </c>
      <c r="I44" s="72" t="n">
        <v>0</v>
      </c>
    </row>
    <row r="45" customFormat="false" ht="15" hidden="false" customHeight="false" outlineLevel="0" collapsed="false">
      <c r="A45" s="25"/>
      <c r="B45" s="25" t="s">
        <v>103</v>
      </c>
      <c r="C45" s="25" t="n">
        <v>0</v>
      </c>
      <c r="D45" s="25" t="n">
        <v>0</v>
      </c>
      <c r="E45" s="25" t="n">
        <v>0</v>
      </c>
      <c r="F45" s="25" t="n">
        <v>1</v>
      </c>
      <c r="G45" s="25" t="n">
        <v>0</v>
      </c>
      <c r="H45" s="25" t="n">
        <v>0</v>
      </c>
      <c r="I45" s="72" t="n">
        <v>1</v>
      </c>
    </row>
    <row r="46" customFormat="false" ht="15" hidden="false" customHeight="false" outlineLevel="0" collapsed="false">
      <c r="A46" s="25"/>
      <c r="B46" s="25" t="s">
        <v>104</v>
      </c>
      <c r="C46" s="25" t="n">
        <v>0</v>
      </c>
      <c r="D46" s="25" t="n">
        <v>0</v>
      </c>
      <c r="E46" s="25" t="n">
        <v>0</v>
      </c>
      <c r="F46" s="25" t="n">
        <v>0</v>
      </c>
      <c r="G46" s="25" t="n">
        <v>0</v>
      </c>
      <c r="H46" s="25" t="n">
        <v>0</v>
      </c>
      <c r="I46" s="72" t="n">
        <v>0</v>
      </c>
    </row>
    <row r="47" customFormat="false" ht="15" hidden="false" customHeight="false" outlineLevel="0" collapsed="false">
      <c r="A47" s="25"/>
      <c r="B47" s="25" t="s">
        <v>105</v>
      </c>
      <c r="C47" s="25" t="n">
        <v>0</v>
      </c>
      <c r="D47" s="25" t="n">
        <v>0</v>
      </c>
      <c r="E47" s="25" t="n">
        <v>0</v>
      </c>
      <c r="F47" s="25" t="n">
        <v>0</v>
      </c>
      <c r="G47" s="25" t="n">
        <v>0</v>
      </c>
      <c r="H47" s="25" t="n">
        <v>0</v>
      </c>
      <c r="I47" s="72" t="n">
        <v>0</v>
      </c>
    </row>
    <row r="48" customFormat="false" ht="15" hidden="false" customHeight="false" outlineLevel="0" collapsed="false">
      <c r="A48" s="25"/>
      <c r="B48" s="25" t="s">
        <v>106</v>
      </c>
      <c r="C48" s="25" t="n">
        <v>0</v>
      </c>
      <c r="D48" s="25" t="n">
        <v>0</v>
      </c>
      <c r="E48" s="25" t="n">
        <v>0</v>
      </c>
      <c r="F48" s="25" t="n">
        <v>0</v>
      </c>
      <c r="G48" s="25" t="n">
        <v>0</v>
      </c>
      <c r="H48" s="25" t="n">
        <v>0</v>
      </c>
      <c r="I48" s="72" t="n">
        <v>0</v>
      </c>
    </row>
    <row r="49" customFormat="false" ht="15" hidden="false" customHeight="false" outlineLevel="0" collapsed="false">
      <c r="A49" s="25"/>
      <c r="B49" s="25" t="s">
        <v>107</v>
      </c>
      <c r="C49" s="25" t="n">
        <v>0</v>
      </c>
      <c r="D49" s="25" t="n">
        <v>0</v>
      </c>
      <c r="E49" s="25" t="n">
        <v>0</v>
      </c>
      <c r="F49" s="25" t="n">
        <v>0</v>
      </c>
      <c r="G49" s="25" t="n">
        <v>0</v>
      </c>
      <c r="H49" s="25" t="n">
        <v>0</v>
      </c>
      <c r="I49" s="72" t="n">
        <v>0</v>
      </c>
    </row>
    <row r="50" customFormat="false" ht="15" hidden="false" customHeight="false" outlineLevel="0" collapsed="false">
      <c r="A50" s="25"/>
      <c r="B50" s="25" t="s">
        <v>108</v>
      </c>
      <c r="C50" s="25" t="n">
        <v>2</v>
      </c>
      <c r="D50" s="25" t="n">
        <v>4</v>
      </c>
      <c r="E50" s="25" t="n">
        <v>4</v>
      </c>
      <c r="F50" s="25" t="n">
        <v>7</v>
      </c>
      <c r="G50" s="25" t="n">
        <v>0</v>
      </c>
      <c r="H50" s="25" t="n">
        <v>0</v>
      </c>
      <c r="I50" s="72" t="n">
        <v>17</v>
      </c>
    </row>
    <row r="51" customFormat="false" ht="15" hidden="false" customHeight="false" outlineLevel="0" collapsed="false">
      <c r="A51" s="25"/>
      <c r="B51" s="25" t="s">
        <v>109</v>
      </c>
      <c r="C51" s="25" t="n">
        <v>14</v>
      </c>
      <c r="D51" s="25" t="n">
        <v>15</v>
      </c>
      <c r="E51" s="25" t="n">
        <v>44</v>
      </c>
      <c r="F51" s="25" t="n">
        <v>41</v>
      </c>
      <c r="G51" s="25" t="n">
        <v>14</v>
      </c>
      <c r="H51" s="25" t="n">
        <v>0</v>
      </c>
      <c r="I51" s="72" t="n">
        <v>128</v>
      </c>
    </row>
    <row r="52" customFormat="false" ht="15" hidden="false" customHeight="false" outlineLevel="0" collapsed="false">
      <c r="A52" s="25"/>
      <c r="B52" s="25" t="s">
        <v>110</v>
      </c>
      <c r="C52" s="25" t="n">
        <v>7</v>
      </c>
      <c r="D52" s="25" t="n">
        <v>3</v>
      </c>
      <c r="E52" s="25" t="n">
        <v>7</v>
      </c>
      <c r="F52" s="25" t="n">
        <v>10</v>
      </c>
      <c r="G52" s="25" t="n">
        <v>6</v>
      </c>
      <c r="H52" s="25" t="n">
        <v>0</v>
      </c>
      <c r="I52" s="72" t="n">
        <v>33</v>
      </c>
    </row>
    <row r="53" customFormat="false" ht="15" hidden="false" customHeight="false" outlineLevel="0" collapsed="false">
      <c r="A53" s="25"/>
      <c r="B53" s="25" t="s">
        <v>111</v>
      </c>
      <c r="C53" s="25" t="n">
        <v>0</v>
      </c>
      <c r="D53" s="25" t="n">
        <v>0</v>
      </c>
      <c r="E53" s="25" t="n">
        <v>0</v>
      </c>
      <c r="F53" s="25" t="n">
        <v>0</v>
      </c>
      <c r="G53" s="25" t="n">
        <v>0</v>
      </c>
      <c r="H53" s="25" t="n">
        <v>0</v>
      </c>
      <c r="I53" s="72" t="n">
        <v>0</v>
      </c>
    </row>
    <row r="54" customFormat="false" ht="15" hidden="false" customHeight="false" outlineLevel="0" collapsed="false">
      <c r="A54" s="25"/>
      <c r="B54" s="25" t="s">
        <v>112</v>
      </c>
      <c r="C54" s="25" t="n">
        <v>0</v>
      </c>
      <c r="D54" s="25" t="n">
        <v>0</v>
      </c>
      <c r="E54" s="25" t="n">
        <v>0</v>
      </c>
      <c r="F54" s="25" t="n">
        <v>0</v>
      </c>
      <c r="G54" s="25" t="n">
        <v>0</v>
      </c>
      <c r="H54" s="25" t="n">
        <v>0</v>
      </c>
      <c r="I54" s="72" t="n">
        <v>0</v>
      </c>
    </row>
    <row r="55" customFormat="false" ht="15" hidden="false" customHeight="false" outlineLevel="0" collapsed="false">
      <c r="A55" s="25"/>
      <c r="B55" s="25" t="s">
        <v>113</v>
      </c>
      <c r="C55" s="25" t="n">
        <v>0</v>
      </c>
      <c r="D55" s="25" t="n">
        <v>0</v>
      </c>
      <c r="E55" s="25" t="n">
        <v>0</v>
      </c>
      <c r="F55" s="25" t="n">
        <v>0</v>
      </c>
      <c r="G55" s="25" t="n">
        <v>0</v>
      </c>
      <c r="H55" s="25" t="n">
        <v>0</v>
      </c>
      <c r="I55" s="72" t="n">
        <v>0</v>
      </c>
    </row>
    <row r="56" customFormat="false" ht="15" hidden="false" customHeight="false" outlineLevel="0" collapsed="false">
      <c r="A56" s="25"/>
      <c r="B56" s="25" t="s">
        <v>114</v>
      </c>
      <c r="C56" s="25" t="n">
        <v>0</v>
      </c>
      <c r="D56" s="25" t="n">
        <v>0</v>
      </c>
      <c r="E56" s="25" t="n">
        <v>0</v>
      </c>
      <c r="F56" s="25" t="n">
        <v>0</v>
      </c>
      <c r="G56" s="25" t="n">
        <v>0</v>
      </c>
      <c r="H56" s="25" t="n">
        <v>0</v>
      </c>
      <c r="I56" s="72" t="n">
        <v>0</v>
      </c>
    </row>
    <row r="57" customFormat="false" ht="15" hidden="false" customHeight="false" outlineLevel="0" collapsed="false">
      <c r="A57" s="25"/>
      <c r="B57" s="25" t="s">
        <v>115</v>
      </c>
      <c r="C57" s="25" t="n">
        <v>6</v>
      </c>
      <c r="D57" s="25" t="n">
        <v>6</v>
      </c>
      <c r="E57" s="25" t="n">
        <v>24</v>
      </c>
      <c r="F57" s="25" t="n">
        <v>24</v>
      </c>
      <c r="G57" s="25" t="n">
        <v>4</v>
      </c>
      <c r="H57" s="25" t="n">
        <v>0</v>
      </c>
      <c r="I57" s="72" t="n">
        <v>64</v>
      </c>
    </row>
    <row r="58" customFormat="false" ht="15" hidden="false" customHeight="false" outlineLevel="0" collapsed="false">
      <c r="A58" s="25"/>
      <c r="B58" s="25" t="s">
        <v>116</v>
      </c>
      <c r="C58" s="25" t="n">
        <v>0</v>
      </c>
      <c r="D58" s="25" t="n">
        <v>0</v>
      </c>
      <c r="E58" s="25" t="n">
        <v>0</v>
      </c>
      <c r="F58" s="25" t="n">
        <v>0</v>
      </c>
      <c r="G58" s="25" t="n">
        <v>0</v>
      </c>
      <c r="H58" s="25" t="n">
        <v>0</v>
      </c>
      <c r="I58" s="72" t="n">
        <v>0</v>
      </c>
    </row>
    <row r="59" customFormat="false" ht="15" hidden="false" customHeight="false" outlineLevel="0" collapsed="false">
      <c r="A59" s="27"/>
      <c r="B59" s="28" t="s">
        <v>22</v>
      </c>
      <c r="C59" s="27" t="n">
        <v>40</v>
      </c>
      <c r="D59" s="27" t="n">
        <v>45</v>
      </c>
      <c r="E59" s="27" t="n">
        <v>123</v>
      </c>
      <c r="F59" s="27" t="n">
        <v>118</v>
      </c>
      <c r="G59" s="27" t="n">
        <v>32</v>
      </c>
      <c r="H59" s="27" t="n">
        <v>1</v>
      </c>
      <c r="I59" s="73" t="n">
        <v>359</v>
      </c>
    </row>
    <row r="60" customFormat="false" ht="15" hidden="false" customHeight="false" outlineLevel="0" collapsed="false">
      <c r="A60" s="49"/>
      <c r="B60" s="49" t="s">
        <v>74</v>
      </c>
      <c r="C60" s="74" t="n">
        <v>167</v>
      </c>
      <c r="D60" s="74" t="n">
        <v>233</v>
      </c>
      <c r="E60" s="74" t="n">
        <v>424</v>
      </c>
      <c r="F60" s="74" t="n">
        <v>445</v>
      </c>
      <c r="G60" s="74" t="n">
        <v>105</v>
      </c>
      <c r="H60" s="74" t="n">
        <v>8</v>
      </c>
      <c r="I60" s="74" t="n">
        <v>1382</v>
      </c>
    </row>
    <row r="61" customFormat="false" ht="15" hidden="false" customHeight="false" outlineLevel="0" collapsed="false">
      <c r="A61" s="51"/>
      <c r="B61" s="51" t="s">
        <v>117</v>
      </c>
      <c r="C61" s="75" t="n">
        <v>0.120839363241679</v>
      </c>
      <c r="D61" s="75" t="n">
        <v>0.168596237337192</v>
      </c>
      <c r="E61" s="75" t="n">
        <v>0.306801736613603</v>
      </c>
      <c r="F61" s="75" t="n">
        <v>0.321997105643994</v>
      </c>
      <c r="G61" s="75" t="n">
        <v>0.0759768451519537</v>
      </c>
      <c r="H61" s="75" t="n">
        <v>0.00578871201157742</v>
      </c>
      <c r="I61" s="76" t="n">
        <v>1</v>
      </c>
    </row>
    <row r="62" customFormat="false" ht="15" hidden="false" customHeight="false" outlineLevel="0" collapsed="false">
      <c r="A62" s="34" t="s">
        <v>118</v>
      </c>
    </row>
  </sheetData>
  <mergeCells count="1">
    <mergeCell ref="A1:I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outlineLevelRow="0" outlineLevelCol="0"/>
  <cols>
    <col collapsed="false" customWidth="true" hidden="false" outlineLevel="0" max="1" min="1" style="0" width="14.15"/>
    <col collapsed="false" customWidth="true" hidden="false" outlineLevel="0" max="2" min="2" style="0" width="19.14"/>
    <col collapsed="false" customWidth="true" hidden="false" outlineLevel="0" max="3" min="3" style="0" width="8.67"/>
    <col collapsed="false" customWidth="true" hidden="false" outlineLevel="0" max="4" min="4" style="0" width="11.71"/>
    <col collapsed="false" customWidth="true" hidden="false" outlineLevel="0" max="5" min="5" style="0" width="12.14"/>
    <col collapsed="false" customWidth="true" hidden="false" outlineLevel="0" max="6" min="6" style="0" width="13.57"/>
    <col collapsed="false" customWidth="true" hidden="false" outlineLevel="0" max="7" min="7" style="0" width="13.01"/>
    <col collapsed="false" customWidth="true" hidden="false" outlineLevel="0" max="8" min="8" style="0" width="13.43"/>
    <col collapsed="false" customWidth="true" hidden="false" outlineLevel="0" max="12" min="9" style="0" width="8.67"/>
    <col collapsed="false" customWidth="true" hidden="false" outlineLevel="0" max="13" min="13" style="0" width="11.99"/>
    <col collapsed="false" customWidth="true" hidden="false" outlineLevel="0" max="1025" min="14" style="0" width="8.67"/>
  </cols>
  <sheetData>
    <row r="1" customFormat="false" ht="15" hidden="false" customHeight="false" outlineLevel="0" collapsed="false">
      <c r="A1" s="35" t="s">
        <v>149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</row>
    <row r="2" customFormat="false" ht="15" hidden="false" customHeight="false" outlineLevel="0" collapsed="false">
      <c r="A2" s="36"/>
      <c r="B2" s="36" t="s">
        <v>1</v>
      </c>
      <c r="C2" s="36" t="s">
        <v>150</v>
      </c>
      <c r="D2" s="36" t="s">
        <v>151</v>
      </c>
      <c r="E2" s="36" t="s">
        <v>152</v>
      </c>
      <c r="F2" s="36" t="s">
        <v>153</v>
      </c>
      <c r="G2" s="36" t="s">
        <v>154</v>
      </c>
      <c r="H2" s="36" t="s">
        <v>155</v>
      </c>
      <c r="I2" s="36" t="s">
        <v>156</v>
      </c>
      <c r="J2" s="36" t="s">
        <v>157</v>
      </c>
      <c r="K2" s="36" t="s">
        <v>158</v>
      </c>
      <c r="L2" s="36" t="s">
        <v>159</v>
      </c>
      <c r="M2" s="36" t="s">
        <v>160</v>
      </c>
      <c r="N2" s="36" t="s">
        <v>161</v>
      </c>
      <c r="O2" s="36"/>
    </row>
    <row r="3" customFormat="false" ht="15" hidden="false" customHeight="false" outlineLevel="0" collapsed="false">
      <c r="A3" s="77" t="s">
        <v>2</v>
      </c>
      <c r="B3" s="78" t="s">
        <v>121</v>
      </c>
      <c r="C3" s="78" t="s">
        <v>162</v>
      </c>
      <c r="D3" s="78" t="s">
        <v>163</v>
      </c>
      <c r="E3" s="78" t="s">
        <v>164</v>
      </c>
      <c r="F3" s="78" t="s">
        <v>164</v>
      </c>
      <c r="G3" s="78" t="s">
        <v>165</v>
      </c>
      <c r="H3" s="78" t="s">
        <v>165</v>
      </c>
      <c r="I3" s="78" t="s">
        <v>166</v>
      </c>
      <c r="J3" s="78" t="s">
        <v>166</v>
      </c>
      <c r="K3" s="77" t="s">
        <v>167</v>
      </c>
      <c r="L3" s="78" t="s">
        <v>167</v>
      </c>
      <c r="M3" s="78" t="s">
        <v>168</v>
      </c>
      <c r="N3" s="78" t="s">
        <v>162</v>
      </c>
      <c r="O3" s="78"/>
    </row>
    <row r="4" customFormat="false" ht="15" hidden="false" customHeight="false" outlineLevel="0" collapsed="false">
      <c r="A4" s="79"/>
      <c r="B4" s="80"/>
      <c r="C4" s="80" t="s">
        <v>169</v>
      </c>
      <c r="D4" s="81" t="s">
        <v>164</v>
      </c>
      <c r="E4" s="80" t="s">
        <v>170</v>
      </c>
      <c r="F4" s="80" t="s">
        <v>171</v>
      </c>
      <c r="G4" s="80" t="s">
        <v>170</v>
      </c>
      <c r="H4" s="80" t="s">
        <v>171</v>
      </c>
      <c r="I4" s="80" t="s">
        <v>170</v>
      </c>
      <c r="J4" s="80" t="s">
        <v>171</v>
      </c>
      <c r="K4" s="79" t="s">
        <v>170</v>
      </c>
      <c r="L4" s="80" t="s">
        <v>171</v>
      </c>
      <c r="M4" s="80" t="s">
        <v>172</v>
      </c>
      <c r="N4" s="80" t="s">
        <v>173</v>
      </c>
      <c r="O4" s="80" t="s">
        <v>80</v>
      </c>
    </row>
    <row r="5" customFormat="false" ht="15" hidden="false" customHeight="false" outlineLevel="0" collapsed="false">
      <c r="A5" s="24" t="s">
        <v>81</v>
      </c>
      <c r="B5" s="25" t="s">
        <v>18</v>
      </c>
      <c r="C5" s="82" t="n">
        <v>0</v>
      </c>
      <c r="D5" s="82" t="n">
        <v>0</v>
      </c>
      <c r="E5" s="82" t="n">
        <v>0</v>
      </c>
      <c r="F5" s="82" t="n">
        <v>0</v>
      </c>
      <c r="G5" s="82" t="n">
        <v>0</v>
      </c>
      <c r="H5" s="82" t="n">
        <v>0</v>
      </c>
      <c r="I5" s="82" t="n">
        <v>0</v>
      </c>
      <c r="J5" s="82" t="n">
        <v>0</v>
      </c>
      <c r="K5" s="82" t="n">
        <v>0</v>
      </c>
      <c r="L5" s="82" t="n">
        <v>0</v>
      </c>
      <c r="M5" s="82" t="n">
        <v>0</v>
      </c>
      <c r="N5" s="82" t="n">
        <v>0</v>
      </c>
      <c r="O5" s="82" t="n">
        <v>0</v>
      </c>
    </row>
    <row r="6" customFormat="false" ht="15" hidden="false" customHeight="false" outlineLevel="0" collapsed="false">
      <c r="A6" s="26"/>
      <c r="B6" s="25" t="s">
        <v>19</v>
      </c>
      <c r="C6" s="82" t="n">
        <v>0</v>
      </c>
      <c r="D6" s="82" t="n">
        <v>0</v>
      </c>
      <c r="E6" s="82" t="n">
        <v>1</v>
      </c>
      <c r="F6" s="82" t="n">
        <v>1</v>
      </c>
      <c r="G6" s="82" t="n">
        <v>3</v>
      </c>
      <c r="H6" s="82" t="n">
        <v>2</v>
      </c>
      <c r="I6" s="82" t="n">
        <v>4</v>
      </c>
      <c r="J6" s="82" t="n">
        <v>4</v>
      </c>
      <c r="K6" s="82" t="n">
        <v>0</v>
      </c>
      <c r="L6" s="82" t="n">
        <v>0</v>
      </c>
      <c r="M6" s="82" t="n">
        <v>3</v>
      </c>
      <c r="N6" s="82" t="n">
        <v>0</v>
      </c>
      <c r="O6" s="82" t="n">
        <v>18</v>
      </c>
    </row>
    <row r="7" customFormat="false" ht="15" hidden="false" customHeight="false" outlineLevel="0" collapsed="false">
      <c r="A7" s="26"/>
      <c r="B7" s="25" t="s">
        <v>20</v>
      </c>
      <c r="C7" s="82" t="n">
        <v>0</v>
      </c>
      <c r="D7" s="82" t="n">
        <v>0</v>
      </c>
      <c r="E7" s="82" t="n">
        <v>0</v>
      </c>
      <c r="F7" s="82" t="n">
        <v>0</v>
      </c>
      <c r="G7" s="82" t="n">
        <v>0</v>
      </c>
      <c r="H7" s="82" t="n">
        <v>0</v>
      </c>
      <c r="I7" s="82" t="n">
        <v>0</v>
      </c>
      <c r="J7" s="82" t="n">
        <v>0</v>
      </c>
      <c r="K7" s="82" t="n">
        <v>0</v>
      </c>
      <c r="L7" s="82" t="n">
        <v>0</v>
      </c>
      <c r="M7" s="82" t="n">
        <v>0</v>
      </c>
      <c r="N7" s="82" t="n">
        <v>0</v>
      </c>
      <c r="O7" s="82" t="n">
        <v>0</v>
      </c>
    </row>
    <row r="8" customFormat="false" ht="15" hidden="false" customHeight="false" outlineLevel="0" collapsed="false">
      <c r="A8" s="26"/>
      <c r="B8" s="25" t="s">
        <v>21</v>
      </c>
      <c r="C8" s="82" t="n">
        <v>0</v>
      </c>
      <c r="D8" s="82" t="n">
        <v>0</v>
      </c>
      <c r="E8" s="82" t="n">
        <v>0</v>
      </c>
      <c r="F8" s="82" t="n">
        <v>1</v>
      </c>
      <c r="G8" s="82" t="n">
        <v>3</v>
      </c>
      <c r="H8" s="82" t="n">
        <v>0</v>
      </c>
      <c r="I8" s="82" t="n">
        <v>6</v>
      </c>
      <c r="J8" s="82" t="n">
        <v>3</v>
      </c>
      <c r="K8" s="82" t="n">
        <v>0</v>
      </c>
      <c r="L8" s="82" t="n">
        <v>0</v>
      </c>
      <c r="M8" s="82" t="n">
        <v>2</v>
      </c>
      <c r="N8" s="82" t="n">
        <v>0</v>
      </c>
      <c r="O8" s="82" t="n">
        <v>15</v>
      </c>
    </row>
    <row r="9" customFormat="false" ht="15" hidden="false" customHeight="false" outlineLevel="0" collapsed="false">
      <c r="A9" s="27"/>
      <c r="B9" s="28" t="s">
        <v>22</v>
      </c>
      <c r="C9" s="83" t="n">
        <v>0</v>
      </c>
      <c r="D9" s="83" t="n">
        <v>0</v>
      </c>
      <c r="E9" s="83" t="n">
        <v>1</v>
      </c>
      <c r="F9" s="83" t="n">
        <v>2</v>
      </c>
      <c r="G9" s="83" t="n">
        <v>6</v>
      </c>
      <c r="H9" s="83" t="n">
        <v>2</v>
      </c>
      <c r="I9" s="83" t="n">
        <v>10</v>
      </c>
      <c r="J9" s="83" t="n">
        <v>7</v>
      </c>
      <c r="K9" s="83" t="n">
        <v>0</v>
      </c>
      <c r="L9" s="83" t="n">
        <v>0</v>
      </c>
      <c r="M9" s="83" t="n">
        <v>5</v>
      </c>
      <c r="N9" s="83" t="n">
        <v>0</v>
      </c>
      <c r="O9" s="83" t="n">
        <v>33</v>
      </c>
    </row>
    <row r="10" customFormat="false" ht="15" hidden="false" customHeight="false" outlineLevel="0" collapsed="false">
      <c r="A10" s="24" t="s">
        <v>82</v>
      </c>
      <c r="B10" s="25" t="s">
        <v>24</v>
      </c>
      <c r="C10" s="82" t="n">
        <v>0</v>
      </c>
      <c r="D10" s="82" t="n">
        <v>0</v>
      </c>
      <c r="E10" s="82" t="n">
        <v>0</v>
      </c>
      <c r="F10" s="82" t="n">
        <v>0</v>
      </c>
      <c r="G10" s="82" t="n">
        <v>0</v>
      </c>
      <c r="H10" s="82" t="n">
        <v>0</v>
      </c>
      <c r="I10" s="82" t="n">
        <v>0</v>
      </c>
      <c r="J10" s="82" t="n">
        <v>0</v>
      </c>
      <c r="K10" s="82" t="n">
        <v>0</v>
      </c>
      <c r="L10" s="82" t="n">
        <v>0</v>
      </c>
      <c r="M10" s="82" t="n">
        <v>0</v>
      </c>
      <c r="N10" s="82" t="n">
        <v>0</v>
      </c>
      <c r="O10" s="82" t="n">
        <v>0</v>
      </c>
    </row>
    <row r="11" customFormat="false" ht="15" hidden="false" customHeight="false" outlineLevel="0" collapsed="false">
      <c r="A11" s="29"/>
      <c r="B11" s="25" t="s">
        <v>25</v>
      </c>
      <c r="C11" s="82" t="n">
        <v>1</v>
      </c>
      <c r="D11" s="82" t="n">
        <v>0</v>
      </c>
      <c r="E11" s="82" t="n">
        <v>7</v>
      </c>
      <c r="F11" s="82" t="n">
        <v>1</v>
      </c>
      <c r="G11" s="82" t="n">
        <v>4</v>
      </c>
      <c r="H11" s="82" t="n">
        <v>0</v>
      </c>
      <c r="I11" s="82" t="n">
        <v>0</v>
      </c>
      <c r="J11" s="82" t="n">
        <v>0</v>
      </c>
      <c r="K11" s="82" t="n">
        <v>0</v>
      </c>
      <c r="L11" s="82" t="n">
        <v>0</v>
      </c>
      <c r="M11" s="82" t="n">
        <v>1</v>
      </c>
      <c r="N11" s="82" t="n">
        <v>0</v>
      </c>
      <c r="O11" s="82" t="n">
        <v>14</v>
      </c>
    </row>
    <row r="12" customFormat="false" ht="15" hidden="false" customHeight="false" outlineLevel="0" collapsed="false">
      <c r="A12" s="29"/>
      <c r="B12" s="25" t="s">
        <v>26</v>
      </c>
      <c r="C12" s="82" t="n">
        <v>0</v>
      </c>
      <c r="D12" s="82" t="n">
        <v>0</v>
      </c>
      <c r="E12" s="82" t="n">
        <v>0</v>
      </c>
      <c r="F12" s="82" t="n">
        <v>1</v>
      </c>
      <c r="G12" s="82" t="n">
        <v>0</v>
      </c>
      <c r="H12" s="82" t="n">
        <v>1</v>
      </c>
      <c r="I12" s="82" t="n">
        <v>2</v>
      </c>
      <c r="J12" s="82" t="n">
        <v>0</v>
      </c>
      <c r="K12" s="82" t="n">
        <v>0</v>
      </c>
      <c r="L12" s="82" t="n">
        <v>0</v>
      </c>
      <c r="M12" s="82" t="n">
        <v>0</v>
      </c>
      <c r="N12" s="82" t="n">
        <v>0</v>
      </c>
      <c r="O12" s="82" t="n">
        <v>4</v>
      </c>
    </row>
    <row r="13" customFormat="false" ht="15" hidden="false" customHeight="false" outlineLevel="0" collapsed="false">
      <c r="A13" s="29"/>
      <c r="B13" s="25" t="s">
        <v>27</v>
      </c>
      <c r="C13" s="82" t="n">
        <v>0</v>
      </c>
      <c r="D13" s="82" t="n">
        <v>1</v>
      </c>
      <c r="E13" s="82" t="n">
        <v>3</v>
      </c>
      <c r="F13" s="82" t="n">
        <v>0</v>
      </c>
      <c r="G13" s="82" t="n">
        <v>1</v>
      </c>
      <c r="H13" s="82" t="n">
        <v>2</v>
      </c>
      <c r="I13" s="82" t="n">
        <v>0</v>
      </c>
      <c r="J13" s="82" t="n">
        <v>3</v>
      </c>
      <c r="K13" s="82" t="n">
        <v>0</v>
      </c>
      <c r="L13" s="82" t="n">
        <v>0</v>
      </c>
      <c r="M13" s="82" t="n">
        <v>0</v>
      </c>
      <c r="N13" s="82" t="n">
        <v>0</v>
      </c>
      <c r="O13" s="82" t="n">
        <v>10</v>
      </c>
    </row>
    <row r="14" customFormat="false" ht="15" hidden="false" customHeight="false" outlineLevel="0" collapsed="false">
      <c r="A14" s="27"/>
      <c r="B14" s="28" t="s">
        <v>22</v>
      </c>
      <c r="C14" s="83" t="n">
        <v>1</v>
      </c>
      <c r="D14" s="83" t="n">
        <v>1</v>
      </c>
      <c r="E14" s="83" t="n">
        <v>10</v>
      </c>
      <c r="F14" s="83" t="n">
        <v>2</v>
      </c>
      <c r="G14" s="83" t="n">
        <v>5</v>
      </c>
      <c r="H14" s="83" t="n">
        <v>3</v>
      </c>
      <c r="I14" s="83" t="n">
        <v>2</v>
      </c>
      <c r="J14" s="83" t="n">
        <v>3</v>
      </c>
      <c r="K14" s="83" t="n">
        <v>0</v>
      </c>
      <c r="L14" s="83" t="n">
        <v>0</v>
      </c>
      <c r="M14" s="83" t="n">
        <v>1</v>
      </c>
      <c r="N14" s="83" t="n">
        <v>0</v>
      </c>
      <c r="O14" s="83" t="n">
        <v>28</v>
      </c>
    </row>
    <row r="15" customFormat="false" ht="15" hidden="false" customHeight="false" outlineLevel="0" collapsed="false">
      <c r="A15" s="24" t="s">
        <v>83</v>
      </c>
      <c r="B15" s="25" t="s">
        <v>29</v>
      </c>
      <c r="C15" s="82" t="n">
        <v>0</v>
      </c>
      <c r="D15" s="82" t="n">
        <v>0</v>
      </c>
      <c r="E15" s="82" t="n">
        <v>0</v>
      </c>
      <c r="F15" s="82" t="n">
        <v>0</v>
      </c>
      <c r="G15" s="82" t="n">
        <v>0</v>
      </c>
      <c r="H15" s="82" t="n">
        <v>0</v>
      </c>
      <c r="I15" s="82" t="n">
        <v>0</v>
      </c>
      <c r="J15" s="82" t="n">
        <v>0</v>
      </c>
      <c r="K15" s="82" t="n">
        <v>0</v>
      </c>
      <c r="L15" s="82" t="n">
        <v>0</v>
      </c>
      <c r="M15" s="82" t="n">
        <v>0</v>
      </c>
      <c r="N15" s="82" t="n">
        <v>0</v>
      </c>
      <c r="O15" s="82" t="n">
        <v>0</v>
      </c>
    </row>
    <row r="16" customFormat="false" ht="15" hidden="false" customHeight="false" outlineLevel="0" collapsed="false">
      <c r="A16" s="27"/>
      <c r="B16" s="28" t="s">
        <v>22</v>
      </c>
      <c r="C16" s="83" t="n">
        <v>0</v>
      </c>
      <c r="D16" s="83" t="n">
        <v>0</v>
      </c>
      <c r="E16" s="83" t="n">
        <v>0</v>
      </c>
      <c r="F16" s="83" t="n">
        <v>0</v>
      </c>
      <c r="G16" s="83" t="n">
        <v>0</v>
      </c>
      <c r="H16" s="83" t="n">
        <v>0</v>
      </c>
      <c r="I16" s="83" t="n">
        <v>0</v>
      </c>
      <c r="J16" s="83" t="n">
        <v>0</v>
      </c>
      <c r="K16" s="83" t="n">
        <v>0</v>
      </c>
      <c r="L16" s="83" t="n">
        <v>0</v>
      </c>
      <c r="M16" s="83" t="n">
        <v>0</v>
      </c>
      <c r="N16" s="83" t="n">
        <v>0</v>
      </c>
      <c r="O16" s="83" t="n">
        <v>0</v>
      </c>
    </row>
    <row r="17" customFormat="false" ht="15" hidden="false" customHeight="false" outlineLevel="0" collapsed="false">
      <c r="A17" s="24" t="s">
        <v>84</v>
      </c>
      <c r="B17" s="25" t="s">
        <v>31</v>
      </c>
      <c r="C17" s="82" t="n">
        <v>0</v>
      </c>
      <c r="D17" s="82" t="n">
        <v>0</v>
      </c>
      <c r="E17" s="82" t="n">
        <v>0</v>
      </c>
      <c r="F17" s="82" t="n">
        <v>0</v>
      </c>
      <c r="G17" s="82" t="n">
        <v>0</v>
      </c>
      <c r="H17" s="82" t="n">
        <v>0</v>
      </c>
      <c r="I17" s="82" t="n">
        <v>0</v>
      </c>
      <c r="J17" s="82" t="n">
        <v>0</v>
      </c>
      <c r="K17" s="82" t="n">
        <v>0</v>
      </c>
      <c r="L17" s="82" t="n">
        <v>0</v>
      </c>
      <c r="M17" s="82" t="n">
        <v>0</v>
      </c>
      <c r="N17" s="82" t="n">
        <v>0</v>
      </c>
      <c r="O17" s="82" t="n">
        <v>0</v>
      </c>
    </row>
    <row r="18" customFormat="false" ht="15" hidden="false" customHeight="false" outlineLevel="0" collapsed="false">
      <c r="A18" s="25"/>
      <c r="B18" s="25" t="s">
        <v>32</v>
      </c>
      <c r="C18" s="82" t="n">
        <v>0</v>
      </c>
      <c r="D18" s="82" t="n">
        <v>0</v>
      </c>
      <c r="E18" s="82" t="n">
        <v>1</v>
      </c>
      <c r="F18" s="82" t="n">
        <v>0</v>
      </c>
      <c r="G18" s="82" t="n">
        <v>1</v>
      </c>
      <c r="H18" s="82" t="n">
        <v>1</v>
      </c>
      <c r="I18" s="82" t="n">
        <v>0</v>
      </c>
      <c r="J18" s="82" t="n">
        <v>0</v>
      </c>
      <c r="K18" s="82" t="n">
        <v>0</v>
      </c>
      <c r="L18" s="82" t="n">
        <v>0</v>
      </c>
      <c r="M18" s="82" t="n">
        <v>0</v>
      </c>
      <c r="N18" s="82" t="n">
        <v>0</v>
      </c>
      <c r="O18" s="82" t="n">
        <v>3</v>
      </c>
    </row>
    <row r="19" customFormat="false" ht="15" hidden="false" customHeight="false" outlineLevel="0" collapsed="false">
      <c r="A19" s="25"/>
      <c r="B19" s="25" t="s">
        <v>33</v>
      </c>
      <c r="C19" s="82" t="n">
        <v>0</v>
      </c>
      <c r="D19" s="82" t="n">
        <v>0</v>
      </c>
      <c r="E19" s="82" t="n">
        <v>0</v>
      </c>
      <c r="F19" s="82" t="n">
        <v>0</v>
      </c>
      <c r="G19" s="82" t="n">
        <v>0</v>
      </c>
      <c r="H19" s="82" t="n">
        <v>0</v>
      </c>
      <c r="I19" s="82" t="n">
        <v>0</v>
      </c>
      <c r="J19" s="82" t="n">
        <v>0</v>
      </c>
      <c r="K19" s="82" t="n">
        <v>0</v>
      </c>
      <c r="L19" s="82" t="n">
        <v>0</v>
      </c>
      <c r="M19" s="82" t="n">
        <v>0</v>
      </c>
      <c r="N19" s="82" t="n">
        <v>0</v>
      </c>
      <c r="O19" s="82" t="n">
        <v>0</v>
      </c>
    </row>
    <row r="20" customFormat="false" ht="15" hidden="false" customHeight="false" outlineLevel="0" collapsed="false">
      <c r="A20" s="27"/>
      <c r="B20" s="28" t="s">
        <v>22</v>
      </c>
      <c r="C20" s="83" t="n">
        <v>0</v>
      </c>
      <c r="D20" s="83" t="n">
        <v>0</v>
      </c>
      <c r="E20" s="83" t="n">
        <v>1</v>
      </c>
      <c r="F20" s="83" t="n">
        <v>0</v>
      </c>
      <c r="G20" s="83" t="n">
        <v>1</v>
      </c>
      <c r="H20" s="83" t="n">
        <v>1</v>
      </c>
      <c r="I20" s="83" t="n">
        <v>0</v>
      </c>
      <c r="J20" s="83" t="n">
        <v>0</v>
      </c>
      <c r="K20" s="83" t="n">
        <v>0</v>
      </c>
      <c r="L20" s="83" t="n">
        <v>0</v>
      </c>
      <c r="M20" s="83" t="n">
        <v>0</v>
      </c>
      <c r="N20" s="83" t="n">
        <v>0</v>
      </c>
      <c r="O20" s="83" t="n">
        <v>3</v>
      </c>
    </row>
    <row r="21" customFormat="false" ht="15" hidden="false" customHeight="false" outlineLevel="0" collapsed="false">
      <c r="A21" s="24" t="s">
        <v>85</v>
      </c>
      <c r="B21" s="25" t="s">
        <v>35</v>
      </c>
      <c r="C21" s="82" t="n">
        <v>0</v>
      </c>
      <c r="D21" s="82" t="n">
        <v>1</v>
      </c>
      <c r="E21" s="82" t="n">
        <v>6</v>
      </c>
      <c r="F21" s="82" t="n">
        <v>1</v>
      </c>
      <c r="G21" s="82" t="n">
        <v>4</v>
      </c>
      <c r="H21" s="82" t="n">
        <v>0</v>
      </c>
      <c r="I21" s="82" t="n">
        <v>0</v>
      </c>
      <c r="J21" s="82" t="n">
        <v>0</v>
      </c>
      <c r="K21" s="82" t="n">
        <v>0</v>
      </c>
      <c r="L21" s="82" t="n">
        <v>0</v>
      </c>
      <c r="M21" s="82" t="n">
        <v>2</v>
      </c>
      <c r="N21" s="82" t="n">
        <v>0</v>
      </c>
      <c r="O21" s="82" t="n">
        <v>14</v>
      </c>
    </row>
    <row r="22" customFormat="false" ht="15" hidden="false" customHeight="false" outlineLevel="0" collapsed="false">
      <c r="A22" s="25"/>
      <c r="B22" s="25" t="s">
        <v>36</v>
      </c>
      <c r="C22" s="82" t="n">
        <v>0</v>
      </c>
      <c r="D22" s="82" t="n">
        <v>0</v>
      </c>
      <c r="E22" s="82" t="n">
        <v>2</v>
      </c>
      <c r="F22" s="82" t="n">
        <v>1</v>
      </c>
      <c r="G22" s="82" t="n">
        <v>0</v>
      </c>
      <c r="H22" s="82" t="n">
        <v>0</v>
      </c>
      <c r="I22" s="82" t="n">
        <v>5</v>
      </c>
      <c r="J22" s="82" t="n">
        <v>4</v>
      </c>
      <c r="K22" s="82" t="n">
        <v>0</v>
      </c>
      <c r="L22" s="82" t="n">
        <v>1</v>
      </c>
      <c r="M22" s="82" t="n">
        <v>0</v>
      </c>
      <c r="N22" s="82" t="n">
        <v>0</v>
      </c>
      <c r="O22" s="82" t="n">
        <v>13</v>
      </c>
    </row>
    <row r="23" customFormat="false" ht="15" hidden="false" customHeight="false" outlineLevel="0" collapsed="false">
      <c r="A23" s="25"/>
      <c r="B23" s="25" t="s">
        <v>37</v>
      </c>
      <c r="C23" s="82" t="n">
        <v>0</v>
      </c>
      <c r="D23" s="82" t="n">
        <v>0</v>
      </c>
      <c r="E23" s="82" t="n">
        <v>0</v>
      </c>
      <c r="F23" s="82" t="n">
        <v>0</v>
      </c>
      <c r="G23" s="82" t="n">
        <v>0</v>
      </c>
      <c r="H23" s="82" t="n">
        <v>1</v>
      </c>
      <c r="I23" s="82" t="n">
        <v>0</v>
      </c>
      <c r="J23" s="82" t="n">
        <v>0</v>
      </c>
      <c r="K23" s="82" t="n">
        <v>0</v>
      </c>
      <c r="L23" s="82" t="n">
        <v>1</v>
      </c>
      <c r="M23" s="82" t="n">
        <v>0</v>
      </c>
      <c r="N23" s="82" t="n">
        <v>0</v>
      </c>
      <c r="O23" s="82" t="n">
        <v>2</v>
      </c>
    </row>
    <row r="24" customFormat="false" ht="15" hidden="false" customHeight="false" outlineLevel="0" collapsed="false">
      <c r="A24" s="27"/>
      <c r="B24" s="28" t="s">
        <v>22</v>
      </c>
      <c r="C24" s="83" t="n">
        <v>0</v>
      </c>
      <c r="D24" s="83" t="n">
        <v>1</v>
      </c>
      <c r="E24" s="83" t="n">
        <v>8</v>
      </c>
      <c r="F24" s="83" t="n">
        <v>2</v>
      </c>
      <c r="G24" s="83" t="n">
        <v>4</v>
      </c>
      <c r="H24" s="83" t="n">
        <v>1</v>
      </c>
      <c r="I24" s="83" t="n">
        <v>5</v>
      </c>
      <c r="J24" s="83" t="n">
        <v>4</v>
      </c>
      <c r="K24" s="83" t="n">
        <v>0</v>
      </c>
      <c r="L24" s="83" t="n">
        <v>2</v>
      </c>
      <c r="M24" s="83" t="n">
        <v>2</v>
      </c>
      <c r="N24" s="83" t="n">
        <v>0</v>
      </c>
      <c r="O24" s="83" t="n">
        <v>29</v>
      </c>
    </row>
    <row r="25" customFormat="false" ht="15" hidden="false" customHeight="false" outlineLevel="0" collapsed="false">
      <c r="A25" s="24" t="s">
        <v>86</v>
      </c>
      <c r="B25" s="25" t="s">
        <v>39</v>
      </c>
      <c r="C25" s="82" t="n">
        <v>0</v>
      </c>
      <c r="D25" s="82" t="n">
        <v>0</v>
      </c>
      <c r="E25" s="82" t="n">
        <v>0</v>
      </c>
      <c r="F25" s="82" t="n">
        <v>0</v>
      </c>
      <c r="G25" s="82" t="n">
        <v>0</v>
      </c>
      <c r="H25" s="82" t="n">
        <v>0</v>
      </c>
      <c r="I25" s="82" t="n">
        <v>0</v>
      </c>
      <c r="J25" s="82" t="n">
        <v>0</v>
      </c>
      <c r="K25" s="82" t="n">
        <v>0</v>
      </c>
      <c r="L25" s="82" t="n">
        <v>0</v>
      </c>
      <c r="M25" s="82" t="n">
        <v>0</v>
      </c>
      <c r="N25" s="82" t="n">
        <v>0</v>
      </c>
      <c r="O25" s="82" t="n">
        <v>0</v>
      </c>
    </row>
    <row r="26" customFormat="false" ht="15" hidden="false" customHeight="false" outlineLevel="0" collapsed="false">
      <c r="A26" s="25"/>
      <c r="B26" s="25" t="s">
        <v>40</v>
      </c>
      <c r="C26" s="82" t="n">
        <v>0</v>
      </c>
      <c r="D26" s="82" t="n">
        <v>0</v>
      </c>
      <c r="E26" s="82" t="n">
        <v>4</v>
      </c>
      <c r="F26" s="82" t="n">
        <v>0</v>
      </c>
      <c r="G26" s="82" t="n">
        <v>1</v>
      </c>
      <c r="H26" s="82" t="n">
        <v>3</v>
      </c>
      <c r="I26" s="82" t="n">
        <v>1</v>
      </c>
      <c r="J26" s="82" t="n">
        <v>0</v>
      </c>
      <c r="K26" s="82" t="n">
        <v>1</v>
      </c>
      <c r="L26" s="82" t="n">
        <v>0</v>
      </c>
      <c r="M26" s="82" t="n">
        <v>2</v>
      </c>
      <c r="N26" s="82" t="n">
        <v>0</v>
      </c>
      <c r="O26" s="82" t="n">
        <v>12</v>
      </c>
    </row>
    <row r="27" customFormat="false" ht="15" hidden="false" customHeight="false" outlineLevel="0" collapsed="false">
      <c r="A27" s="25"/>
      <c r="B27" s="25" t="s">
        <v>41</v>
      </c>
      <c r="C27" s="82" t="n">
        <v>2</v>
      </c>
      <c r="D27" s="82" t="n">
        <v>1</v>
      </c>
      <c r="E27" s="82" t="n">
        <v>16</v>
      </c>
      <c r="F27" s="82" t="n">
        <v>8</v>
      </c>
      <c r="G27" s="82" t="n">
        <v>7</v>
      </c>
      <c r="H27" s="82" t="n">
        <v>14</v>
      </c>
      <c r="I27" s="82" t="n">
        <v>4</v>
      </c>
      <c r="J27" s="82" t="n">
        <v>18</v>
      </c>
      <c r="K27" s="82" t="n">
        <v>0</v>
      </c>
      <c r="L27" s="82" t="n">
        <v>3</v>
      </c>
      <c r="M27" s="82" t="n">
        <v>7</v>
      </c>
      <c r="N27" s="82" t="n">
        <v>0</v>
      </c>
      <c r="O27" s="82" t="n">
        <v>80</v>
      </c>
    </row>
    <row r="28" customFormat="false" ht="15" hidden="false" customHeight="false" outlineLevel="0" collapsed="false">
      <c r="A28" s="25"/>
      <c r="B28" s="25" t="s">
        <v>42</v>
      </c>
      <c r="C28" s="82" t="n">
        <v>0</v>
      </c>
      <c r="D28" s="82" t="n">
        <v>0</v>
      </c>
      <c r="E28" s="82" t="n">
        <v>3</v>
      </c>
      <c r="F28" s="82" t="n">
        <v>0</v>
      </c>
      <c r="G28" s="82" t="n">
        <v>2</v>
      </c>
      <c r="H28" s="82" t="n">
        <v>1</v>
      </c>
      <c r="I28" s="82" t="n">
        <v>1</v>
      </c>
      <c r="J28" s="82" t="n">
        <v>2</v>
      </c>
      <c r="K28" s="82" t="n">
        <v>0</v>
      </c>
      <c r="L28" s="82" t="n">
        <v>0</v>
      </c>
      <c r="M28" s="82" t="n">
        <v>0</v>
      </c>
      <c r="N28" s="82" t="n">
        <v>0</v>
      </c>
      <c r="O28" s="82" t="n">
        <v>9</v>
      </c>
    </row>
    <row r="29" customFormat="false" ht="15" hidden="false" customHeight="false" outlineLevel="0" collapsed="false">
      <c r="A29" s="27"/>
      <c r="B29" s="28" t="s">
        <v>22</v>
      </c>
      <c r="C29" s="83" t="n">
        <v>2</v>
      </c>
      <c r="D29" s="83" t="n">
        <v>1</v>
      </c>
      <c r="E29" s="83" t="n">
        <v>23</v>
      </c>
      <c r="F29" s="83" t="n">
        <v>8</v>
      </c>
      <c r="G29" s="83" t="n">
        <v>10</v>
      </c>
      <c r="H29" s="83" t="n">
        <v>18</v>
      </c>
      <c r="I29" s="83" t="n">
        <v>6</v>
      </c>
      <c r="J29" s="83" t="n">
        <v>20</v>
      </c>
      <c r="K29" s="83" t="n">
        <v>1</v>
      </c>
      <c r="L29" s="83" t="n">
        <v>3</v>
      </c>
      <c r="M29" s="83" t="n">
        <v>9</v>
      </c>
      <c r="N29" s="83" t="n">
        <v>0</v>
      </c>
      <c r="O29" s="83" t="n">
        <v>101</v>
      </c>
    </row>
    <row r="30" customFormat="false" ht="15" hidden="false" customHeight="false" outlineLevel="0" collapsed="false">
      <c r="A30" s="24" t="s">
        <v>87</v>
      </c>
      <c r="B30" s="25" t="s">
        <v>44</v>
      </c>
      <c r="C30" s="82" t="n">
        <v>2</v>
      </c>
      <c r="D30" s="82" t="n">
        <v>2</v>
      </c>
      <c r="E30" s="82" t="n">
        <v>27</v>
      </c>
      <c r="F30" s="82" t="n">
        <v>9</v>
      </c>
      <c r="G30" s="82" t="n">
        <v>13</v>
      </c>
      <c r="H30" s="82" t="n">
        <v>10</v>
      </c>
      <c r="I30" s="82" t="n">
        <v>4</v>
      </c>
      <c r="J30" s="82" t="n">
        <v>2</v>
      </c>
      <c r="K30" s="82" t="n">
        <v>0</v>
      </c>
      <c r="L30" s="82" t="n">
        <v>1</v>
      </c>
      <c r="M30" s="82" t="n">
        <v>14</v>
      </c>
      <c r="N30" s="82" t="n">
        <v>0</v>
      </c>
      <c r="O30" s="82" t="n">
        <v>84</v>
      </c>
    </row>
    <row r="31" customFormat="false" ht="15" hidden="false" customHeight="false" outlineLevel="0" collapsed="false">
      <c r="A31" s="25"/>
      <c r="B31" s="25" t="s">
        <v>45</v>
      </c>
      <c r="C31" s="82" t="n">
        <v>0</v>
      </c>
      <c r="D31" s="82" t="n">
        <v>0</v>
      </c>
      <c r="E31" s="82" t="n">
        <v>0</v>
      </c>
      <c r="F31" s="82" t="n">
        <v>0</v>
      </c>
      <c r="G31" s="82" t="n">
        <v>0</v>
      </c>
      <c r="H31" s="82" t="n">
        <v>0</v>
      </c>
      <c r="I31" s="82" t="n">
        <v>0</v>
      </c>
      <c r="J31" s="82" t="n">
        <v>0</v>
      </c>
      <c r="K31" s="82" t="n">
        <v>0</v>
      </c>
      <c r="L31" s="82" t="n">
        <v>0</v>
      </c>
      <c r="M31" s="82" t="n">
        <v>0</v>
      </c>
      <c r="N31" s="82" t="n">
        <v>0</v>
      </c>
      <c r="O31" s="82" t="n">
        <v>0</v>
      </c>
    </row>
    <row r="32" customFormat="false" ht="15" hidden="false" customHeight="false" outlineLevel="0" collapsed="false">
      <c r="A32" s="25"/>
      <c r="B32" s="25" t="s">
        <v>46</v>
      </c>
      <c r="C32" s="82" t="n">
        <v>7</v>
      </c>
      <c r="D32" s="82" t="n">
        <v>4</v>
      </c>
      <c r="E32" s="82" t="n">
        <v>51</v>
      </c>
      <c r="F32" s="82" t="n">
        <v>11</v>
      </c>
      <c r="G32" s="82" t="n">
        <v>49</v>
      </c>
      <c r="H32" s="82" t="n">
        <v>43</v>
      </c>
      <c r="I32" s="82" t="n">
        <v>17</v>
      </c>
      <c r="J32" s="82" t="n">
        <v>12</v>
      </c>
      <c r="K32" s="82" t="n">
        <v>0</v>
      </c>
      <c r="L32" s="82" t="n">
        <v>10</v>
      </c>
      <c r="M32" s="82" t="n">
        <v>25</v>
      </c>
      <c r="N32" s="82" t="n">
        <v>5</v>
      </c>
      <c r="O32" s="82" t="n">
        <v>234</v>
      </c>
    </row>
    <row r="33" customFormat="false" ht="15" hidden="false" customHeight="false" outlineLevel="0" collapsed="false">
      <c r="A33" s="27"/>
      <c r="B33" s="28" t="s">
        <v>22</v>
      </c>
      <c r="C33" s="83" t="n">
        <v>9</v>
      </c>
      <c r="D33" s="83" t="n">
        <v>6</v>
      </c>
      <c r="E33" s="83" t="n">
        <v>78</v>
      </c>
      <c r="F33" s="83" t="n">
        <v>20</v>
      </c>
      <c r="G33" s="83" t="n">
        <v>62</v>
      </c>
      <c r="H33" s="83" t="n">
        <v>53</v>
      </c>
      <c r="I33" s="83" t="n">
        <v>21</v>
      </c>
      <c r="J33" s="83" t="n">
        <v>14</v>
      </c>
      <c r="K33" s="83" t="n">
        <v>0</v>
      </c>
      <c r="L33" s="83" t="n">
        <v>11</v>
      </c>
      <c r="M33" s="83" t="n">
        <v>39</v>
      </c>
      <c r="N33" s="83" t="n">
        <v>5</v>
      </c>
      <c r="O33" s="83" t="n">
        <v>318</v>
      </c>
    </row>
    <row r="34" customFormat="false" ht="15" hidden="false" customHeight="false" outlineLevel="0" collapsed="false">
      <c r="A34" s="24" t="s">
        <v>90</v>
      </c>
      <c r="B34" s="25" t="s">
        <v>91</v>
      </c>
      <c r="C34" s="82" t="n">
        <v>0</v>
      </c>
      <c r="D34" s="82" t="n">
        <v>0</v>
      </c>
      <c r="E34" s="82" t="n">
        <v>0</v>
      </c>
      <c r="F34" s="82" t="n">
        <v>0</v>
      </c>
      <c r="G34" s="82" t="n">
        <v>0</v>
      </c>
      <c r="H34" s="82" t="n">
        <v>0</v>
      </c>
      <c r="I34" s="82" t="n">
        <v>0</v>
      </c>
      <c r="J34" s="82" t="n">
        <v>0</v>
      </c>
      <c r="K34" s="82" t="n">
        <v>0</v>
      </c>
      <c r="L34" s="82" t="n">
        <v>0</v>
      </c>
      <c r="M34" s="82" t="n">
        <v>0</v>
      </c>
      <c r="N34" s="82" t="n">
        <v>0</v>
      </c>
      <c r="O34" s="82" t="n">
        <v>0</v>
      </c>
    </row>
    <row r="35" customFormat="false" ht="15" hidden="false" customHeight="false" outlineLevel="0" collapsed="false">
      <c r="A35" s="25"/>
      <c r="B35" s="25" t="s">
        <v>92</v>
      </c>
      <c r="C35" s="82" t="n">
        <v>1</v>
      </c>
      <c r="D35" s="82" t="n">
        <v>2</v>
      </c>
      <c r="E35" s="82" t="n">
        <v>21</v>
      </c>
      <c r="F35" s="82" t="n">
        <v>5</v>
      </c>
      <c r="G35" s="82" t="n">
        <v>18</v>
      </c>
      <c r="H35" s="82" t="n">
        <v>16</v>
      </c>
      <c r="I35" s="82" t="n">
        <v>9</v>
      </c>
      <c r="J35" s="82" t="n">
        <v>7</v>
      </c>
      <c r="K35" s="82" t="n">
        <v>1</v>
      </c>
      <c r="L35" s="82" t="n">
        <v>1</v>
      </c>
      <c r="M35" s="82" t="n">
        <v>8</v>
      </c>
      <c r="N35" s="82" t="n">
        <v>4</v>
      </c>
      <c r="O35" s="82" t="n">
        <v>93</v>
      </c>
    </row>
    <row r="36" customFormat="false" ht="15" hidden="false" customHeight="false" outlineLevel="0" collapsed="false">
      <c r="A36" s="25"/>
      <c r="B36" s="25" t="s">
        <v>93</v>
      </c>
      <c r="C36" s="82" t="n">
        <v>0</v>
      </c>
      <c r="D36" s="82" t="n">
        <v>0</v>
      </c>
      <c r="E36" s="82" t="n">
        <v>0</v>
      </c>
      <c r="F36" s="82" t="n">
        <v>0</v>
      </c>
      <c r="G36" s="82" t="n">
        <v>0</v>
      </c>
      <c r="H36" s="82" t="n">
        <v>0</v>
      </c>
      <c r="I36" s="82" t="n">
        <v>0</v>
      </c>
      <c r="J36" s="82" t="n">
        <v>0</v>
      </c>
      <c r="K36" s="82" t="n">
        <v>0</v>
      </c>
      <c r="L36" s="82" t="n">
        <v>0</v>
      </c>
      <c r="M36" s="82" t="n">
        <v>0</v>
      </c>
      <c r="N36" s="82" t="n">
        <v>0</v>
      </c>
      <c r="O36" s="82" t="n">
        <v>0</v>
      </c>
    </row>
    <row r="37" customFormat="false" ht="15" hidden="false" customHeight="false" outlineLevel="0" collapsed="false">
      <c r="A37" s="25"/>
      <c r="B37" s="25" t="s">
        <v>94</v>
      </c>
      <c r="C37" s="82" t="n">
        <v>3</v>
      </c>
      <c r="D37" s="82" t="n">
        <v>9</v>
      </c>
      <c r="E37" s="82" t="n">
        <v>22</v>
      </c>
      <c r="F37" s="82" t="n">
        <v>10</v>
      </c>
      <c r="G37" s="82" t="n">
        <v>25</v>
      </c>
      <c r="H37" s="82" t="n">
        <v>24</v>
      </c>
      <c r="I37" s="82" t="n">
        <v>7</v>
      </c>
      <c r="J37" s="82" t="n">
        <v>7</v>
      </c>
      <c r="K37" s="82" t="n">
        <v>1</v>
      </c>
      <c r="L37" s="82" t="n">
        <v>0</v>
      </c>
      <c r="M37" s="82" t="n">
        <v>12</v>
      </c>
      <c r="N37" s="82" t="n">
        <v>1</v>
      </c>
      <c r="O37" s="82" t="n">
        <v>121</v>
      </c>
    </row>
    <row r="38" customFormat="false" ht="15" hidden="false" customHeight="false" outlineLevel="0" collapsed="false">
      <c r="A38" s="25"/>
      <c r="B38" s="25" t="s">
        <v>95</v>
      </c>
      <c r="C38" s="82" t="n">
        <v>1</v>
      </c>
      <c r="D38" s="82" t="n">
        <v>3</v>
      </c>
      <c r="E38" s="82" t="n">
        <v>15</v>
      </c>
      <c r="F38" s="82" t="n">
        <v>6</v>
      </c>
      <c r="G38" s="82" t="n">
        <v>29</v>
      </c>
      <c r="H38" s="82" t="n">
        <v>16</v>
      </c>
      <c r="I38" s="82" t="n">
        <v>10</v>
      </c>
      <c r="J38" s="82" t="n">
        <v>9</v>
      </c>
      <c r="K38" s="82" t="n">
        <v>0</v>
      </c>
      <c r="L38" s="82" t="n">
        <v>0</v>
      </c>
      <c r="M38" s="82" t="n">
        <v>5</v>
      </c>
      <c r="N38" s="82" t="n">
        <v>0</v>
      </c>
      <c r="O38" s="82" t="n">
        <v>94</v>
      </c>
    </row>
    <row r="39" customFormat="false" ht="15" hidden="false" customHeight="false" outlineLevel="0" collapsed="false">
      <c r="A39" s="25"/>
      <c r="B39" s="25" t="s">
        <v>96</v>
      </c>
      <c r="C39" s="82" t="n">
        <v>4</v>
      </c>
      <c r="D39" s="82" t="n">
        <v>2</v>
      </c>
      <c r="E39" s="82" t="n">
        <v>23</v>
      </c>
      <c r="F39" s="82" t="n">
        <v>12</v>
      </c>
      <c r="G39" s="82" t="n">
        <v>16</v>
      </c>
      <c r="H39" s="82" t="n">
        <v>35</v>
      </c>
      <c r="I39" s="82" t="n">
        <v>15</v>
      </c>
      <c r="J39" s="82" t="n">
        <v>5</v>
      </c>
      <c r="K39" s="82" t="n">
        <v>1</v>
      </c>
      <c r="L39" s="82" t="n">
        <v>4</v>
      </c>
      <c r="M39" s="82" t="n">
        <v>5</v>
      </c>
      <c r="N39" s="82" t="n">
        <v>0</v>
      </c>
      <c r="O39" s="82" t="n">
        <v>122</v>
      </c>
    </row>
    <row r="40" customFormat="false" ht="15" hidden="false" customHeight="false" outlineLevel="0" collapsed="false">
      <c r="A40" s="25"/>
      <c r="B40" s="25" t="s">
        <v>97</v>
      </c>
      <c r="C40" s="82" t="n">
        <v>0</v>
      </c>
      <c r="D40" s="82" t="n">
        <v>1</v>
      </c>
      <c r="E40" s="82" t="n">
        <v>5</v>
      </c>
      <c r="F40" s="82" t="n">
        <v>1</v>
      </c>
      <c r="G40" s="82" t="n">
        <v>9</v>
      </c>
      <c r="H40" s="82" t="n">
        <v>9</v>
      </c>
      <c r="I40" s="82" t="n">
        <v>10</v>
      </c>
      <c r="J40" s="82" t="n">
        <v>10</v>
      </c>
      <c r="K40" s="82" t="n">
        <v>0</v>
      </c>
      <c r="L40" s="82" t="n">
        <v>5</v>
      </c>
      <c r="M40" s="82" t="n">
        <v>4</v>
      </c>
      <c r="N40" s="82" t="n">
        <v>0</v>
      </c>
      <c r="O40" s="82" t="n">
        <v>54</v>
      </c>
    </row>
    <row r="41" customFormat="false" ht="15" hidden="false" customHeight="false" outlineLevel="0" collapsed="false">
      <c r="A41" s="25"/>
      <c r="B41" s="25" t="s">
        <v>98</v>
      </c>
      <c r="C41" s="82" t="n">
        <v>0</v>
      </c>
      <c r="D41" s="82" t="n">
        <v>0</v>
      </c>
      <c r="E41" s="82" t="n">
        <v>0</v>
      </c>
      <c r="F41" s="82" t="n">
        <v>0</v>
      </c>
      <c r="G41" s="82" t="n">
        <v>0</v>
      </c>
      <c r="H41" s="82" t="n">
        <v>0</v>
      </c>
      <c r="I41" s="82" t="n">
        <v>0</v>
      </c>
      <c r="J41" s="82" t="n">
        <v>0</v>
      </c>
      <c r="K41" s="82" t="n">
        <v>0</v>
      </c>
      <c r="L41" s="82" t="n">
        <v>0</v>
      </c>
      <c r="M41" s="82" t="n">
        <v>0</v>
      </c>
      <c r="N41" s="82" t="n">
        <v>0</v>
      </c>
      <c r="O41" s="82" t="n">
        <v>0</v>
      </c>
    </row>
    <row r="42" customFormat="false" ht="15" hidden="false" customHeight="false" outlineLevel="0" collapsed="false">
      <c r="A42" s="25"/>
      <c r="B42" s="25" t="s">
        <v>99</v>
      </c>
      <c r="C42" s="82" t="n">
        <v>0</v>
      </c>
      <c r="D42" s="82" t="n">
        <v>0</v>
      </c>
      <c r="E42" s="82" t="n">
        <v>4</v>
      </c>
      <c r="F42" s="82" t="n">
        <v>2</v>
      </c>
      <c r="G42" s="82" t="n">
        <v>6</v>
      </c>
      <c r="H42" s="82" t="n">
        <v>2</v>
      </c>
      <c r="I42" s="82" t="n">
        <v>5</v>
      </c>
      <c r="J42" s="82" t="n">
        <v>3</v>
      </c>
      <c r="K42" s="82" t="n">
        <v>0</v>
      </c>
      <c r="L42" s="82" t="n">
        <v>1</v>
      </c>
      <c r="M42" s="82" t="n">
        <v>4</v>
      </c>
      <c r="N42" s="82" t="n">
        <v>0</v>
      </c>
      <c r="O42" s="82" t="n">
        <v>27</v>
      </c>
    </row>
    <row r="43" customFormat="false" ht="15" hidden="false" customHeight="false" outlineLevel="0" collapsed="false">
      <c r="A43" s="27"/>
      <c r="B43" s="28" t="s">
        <v>22</v>
      </c>
      <c r="C43" s="83" t="n">
        <v>9</v>
      </c>
      <c r="D43" s="83" t="n">
        <v>17</v>
      </c>
      <c r="E43" s="83" t="n">
        <v>90</v>
      </c>
      <c r="F43" s="83" t="n">
        <v>36</v>
      </c>
      <c r="G43" s="83" t="n">
        <v>103</v>
      </c>
      <c r="H43" s="83" t="n">
        <v>102</v>
      </c>
      <c r="I43" s="83" t="n">
        <v>56</v>
      </c>
      <c r="J43" s="83" t="n">
        <v>41</v>
      </c>
      <c r="K43" s="83" t="n">
        <v>3</v>
      </c>
      <c r="L43" s="83" t="n">
        <v>11</v>
      </c>
      <c r="M43" s="83" t="n">
        <v>38</v>
      </c>
      <c r="N43" s="83" t="n">
        <v>5</v>
      </c>
      <c r="O43" s="83" t="n">
        <v>511</v>
      </c>
    </row>
    <row r="44" customFormat="false" ht="15" hidden="false" customHeight="false" outlineLevel="0" collapsed="false">
      <c r="A44" s="24" t="s">
        <v>100</v>
      </c>
      <c r="B44" s="25" t="s">
        <v>101</v>
      </c>
      <c r="C44" s="82" t="n">
        <v>3</v>
      </c>
      <c r="D44" s="82" t="n">
        <v>3</v>
      </c>
      <c r="E44" s="82" t="n">
        <v>17</v>
      </c>
      <c r="F44" s="82" t="n">
        <v>5</v>
      </c>
      <c r="G44" s="82" t="n">
        <v>25</v>
      </c>
      <c r="H44" s="82" t="n">
        <v>32</v>
      </c>
      <c r="I44" s="82" t="n">
        <v>12</v>
      </c>
      <c r="J44" s="82" t="n">
        <v>10</v>
      </c>
      <c r="K44" s="82" t="n">
        <v>0</v>
      </c>
      <c r="L44" s="82" t="n">
        <v>1</v>
      </c>
      <c r="M44" s="82" t="n">
        <v>7</v>
      </c>
      <c r="N44" s="82" t="n">
        <v>1</v>
      </c>
      <c r="O44" s="82" t="n">
        <v>116</v>
      </c>
    </row>
    <row r="45" customFormat="false" ht="15" hidden="false" customHeight="false" outlineLevel="0" collapsed="false">
      <c r="A45" s="25"/>
      <c r="B45" s="25" t="s">
        <v>102</v>
      </c>
      <c r="C45" s="82" t="n">
        <v>0</v>
      </c>
      <c r="D45" s="82" t="n">
        <v>0</v>
      </c>
      <c r="E45" s="82" t="n">
        <v>0</v>
      </c>
      <c r="F45" s="82" t="n">
        <v>0</v>
      </c>
      <c r="G45" s="82" t="n">
        <v>0</v>
      </c>
      <c r="H45" s="82" t="n">
        <v>0</v>
      </c>
      <c r="I45" s="82" t="n">
        <v>0</v>
      </c>
      <c r="J45" s="82" t="n">
        <v>0</v>
      </c>
      <c r="K45" s="82" t="n">
        <v>0</v>
      </c>
      <c r="L45" s="82" t="n">
        <v>0</v>
      </c>
      <c r="M45" s="82" t="n">
        <v>0</v>
      </c>
      <c r="N45" s="82" t="n">
        <v>0</v>
      </c>
      <c r="O45" s="82" t="n">
        <v>0</v>
      </c>
    </row>
    <row r="46" customFormat="false" ht="15" hidden="false" customHeight="false" outlineLevel="0" collapsed="false">
      <c r="A46" s="25"/>
      <c r="B46" s="25" t="s">
        <v>103</v>
      </c>
      <c r="C46" s="82" t="n">
        <v>0</v>
      </c>
      <c r="D46" s="82" t="n">
        <v>0</v>
      </c>
      <c r="E46" s="82" t="n">
        <v>0</v>
      </c>
      <c r="F46" s="82" t="n">
        <v>1</v>
      </c>
      <c r="G46" s="82" t="n">
        <v>0</v>
      </c>
      <c r="H46" s="82" t="n">
        <v>0</v>
      </c>
      <c r="I46" s="82" t="n">
        <v>0</v>
      </c>
      <c r="J46" s="82" t="n">
        <v>0</v>
      </c>
      <c r="K46" s="82" t="n">
        <v>0</v>
      </c>
      <c r="L46" s="82" t="n">
        <v>0</v>
      </c>
      <c r="M46" s="82" t="n">
        <v>0</v>
      </c>
      <c r="N46" s="82" t="n">
        <v>0</v>
      </c>
      <c r="O46" s="82" t="n">
        <v>1</v>
      </c>
    </row>
    <row r="47" customFormat="false" ht="15" hidden="false" customHeight="false" outlineLevel="0" collapsed="false">
      <c r="A47" s="25"/>
      <c r="B47" s="25" t="s">
        <v>104</v>
      </c>
      <c r="C47" s="82" t="n">
        <v>0</v>
      </c>
      <c r="D47" s="82" t="n">
        <v>0</v>
      </c>
      <c r="E47" s="82" t="n">
        <v>0</v>
      </c>
      <c r="F47" s="82" t="n">
        <v>0</v>
      </c>
      <c r="G47" s="82" t="n">
        <v>0</v>
      </c>
      <c r="H47" s="82" t="n">
        <v>0</v>
      </c>
      <c r="I47" s="82" t="n">
        <v>0</v>
      </c>
      <c r="J47" s="82" t="n">
        <v>0</v>
      </c>
      <c r="K47" s="82" t="n">
        <v>0</v>
      </c>
      <c r="L47" s="82" t="n">
        <v>0</v>
      </c>
      <c r="M47" s="82" t="n">
        <v>0</v>
      </c>
      <c r="N47" s="82" t="n">
        <v>0</v>
      </c>
      <c r="O47" s="82" t="n">
        <v>0</v>
      </c>
    </row>
    <row r="48" customFormat="false" ht="15" hidden="false" customHeight="false" outlineLevel="0" collapsed="false">
      <c r="A48" s="25"/>
      <c r="B48" s="25" t="s">
        <v>105</v>
      </c>
      <c r="C48" s="82" t="n">
        <v>0</v>
      </c>
      <c r="D48" s="82" t="n">
        <v>0</v>
      </c>
      <c r="E48" s="82" t="n">
        <v>0</v>
      </c>
      <c r="F48" s="82" t="n">
        <v>0</v>
      </c>
      <c r="G48" s="82" t="n">
        <v>0</v>
      </c>
      <c r="H48" s="82" t="n">
        <v>0</v>
      </c>
      <c r="I48" s="82" t="n">
        <v>0</v>
      </c>
      <c r="J48" s="82" t="n">
        <v>0</v>
      </c>
      <c r="K48" s="82" t="n">
        <v>0</v>
      </c>
      <c r="L48" s="82" t="n">
        <v>0</v>
      </c>
      <c r="M48" s="82" t="n">
        <v>0</v>
      </c>
      <c r="N48" s="82" t="n">
        <v>0</v>
      </c>
      <c r="O48" s="82" t="n">
        <v>0</v>
      </c>
    </row>
    <row r="49" customFormat="false" ht="15" hidden="false" customHeight="false" outlineLevel="0" collapsed="false">
      <c r="A49" s="25"/>
      <c r="B49" s="25" t="s">
        <v>106</v>
      </c>
      <c r="C49" s="82" t="n">
        <v>0</v>
      </c>
      <c r="D49" s="82" t="n">
        <v>0</v>
      </c>
      <c r="E49" s="82" t="n">
        <v>0</v>
      </c>
      <c r="F49" s="82" t="n">
        <v>0</v>
      </c>
      <c r="G49" s="82" t="n">
        <v>0</v>
      </c>
      <c r="H49" s="82" t="n">
        <v>0</v>
      </c>
      <c r="I49" s="82" t="n">
        <v>0</v>
      </c>
      <c r="J49" s="82" t="n">
        <v>0</v>
      </c>
      <c r="K49" s="82" t="n">
        <v>0</v>
      </c>
      <c r="L49" s="82" t="n">
        <v>0</v>
      </c>
      <c r="M49" s="82" t="n">
        <v>0</v>
      </c>
      <c r="N49" s="82" t="n">
        <v>0</v>
      </c>
      <c r="O49" s="82" t="n">
        <v>0</v>
      </c>
    </row>
    <row r="50" customFormat="false" ht="15" hidden="false" customHeight="false" outlineLevel="0" collapsed="false">
      <c r="A50" s="25"/>
      <c r="B50" s="25" t="s">
        <v>107</v>
      </c>
      <c r="C50" s="82" t="n">
        <v>0</v>
      </c>
      <c r="D50" s="82" t="n">
        <v>0</v>
      </c>
      <c r="E50" s="82" t="n">
        <v>0</v>
      </c>
      <c r="F50" s="82" t="n">
        <v>0</v>
      </c>
      <c r="G50" s="82" t="n">
        <v>0</v>
      </c>
      <c r="H50" s="82" t="n">
        <v>0</v>
      </c>
      <c r="I50" s="82" t="n">
        <v>0</v>
      </c>
      <c r="J50" s="82" t="n">
        <v>0</v>
      </c>
      <c r="K50" s="82" t="n">
        <v>0</v>
      </c>
      <c r="L50" s="82" t="n">
        <v>0</v>
      </c>
      <c r="M50" s="82" t="n">
        <v>0</v>
      </c>
      <c r="N50" s="82" t="n">
        <v>0</v>
      </c>
      <c r="O50" s="82" t="n">
        <v>0</v>
      </c>
    </row>
    <row r="51" customFormat="false" ht="15" hidden="false" customHeight="false" outlineLevel="0" collapsed="false">
      <c r="A51" s="25"/>
      <c r="B51" s="25" t="s">
        <v>108</v>
      </c>
      <c r="C51" s="82" t="n">
        <v>0</v>
      </c>
      <c r="D51" s="82" t="n">
        <v>3</v>
      </c>
      <c r="E51" s="82" t="n">
        <v>3</v>
      </c>
      <c r="F51" s="82" t="n">
        <v>1</v>
      </c>
      <c r="G51" s="82" t="n">
        <v>6</v>
      </c>
      <c r="H51" s="82" t="n">
        <v>3</v>
      </c>
      <c r="I51" s="82" t="n">
        <v>1</v>
      </c>
      <c r="J51" s="82" t="n">
        <v>0</v>
      </c>
      <c r="K51" s="82" t="n">
        <v>0</v>
      </c>
      <c r="L51" s="82" t="n">
        <v>0</v>
      </c>
      <c r="M51" s="82" t="n">
        <v>0</v>
      </c>
      <c r="N51" s="82" t="n">
        <v>0</v>
      </c>
      <c r="O51" s="82" t="n">
        <v>17</v>
      </c>
    </row>
    <row r="52" customFormat="false" ht="15" hidden="false" customHeight="false" outlineLevel="0" collapsed="false">
      <c r="A52" s="25"/>
      <c r="B52" s="25" t="s">
        <v>109</v>
      </c>
      <c r="C52" s="82" t="n">
        <v>0</v>
      </c>
      <c r="D52" s="82" t="n">
        <v>2</v>
      </c>
      <c r="E52" s="82" t="n">
        <v>19</v>
      </c>
      <c r="F52" s="82" t="n">
        <v>4</v>
      </c>
      <c r="G52" s="82" t="n">
        <v>14</v>
      </c>
      <c r="H52" s="82" t="n">
        <v>33</v>
      </c>
      <c r="I52" s="82" t="n">
        <v>20</v>
      </c>
      <c r="J52" s="82" t="n">
        <v>21</v>
      </c>
      <c r="K52" s="82" t="n">
        <v>3</v>
      </c>
      <c r="L52" s="82" t="n">
        <v>2</v>
      </c>
      <c r="M52" s="82" t="n">
        <v>10</v>
      </c>
      <c r="N52" s="82" t="n">
        <v>0</v>
      </c>
      <c r="O52" s="82" t="n">
        <v>128</v>
      </c>
    </row>
    <row r="53" customFormat="false" ht="15" hidden="false" customHeight="false" outlineLevel="0" collapsed="false">
      <c r="A53" s="25"/>
      <c r="B53" s="25" t="s">
        <v>110</v>
      </c>
      <c r="C53" s="82" t="n">
        <v>0</v>
      </c>
      <c r="D53" s="82" t="n">
        <v>1</v>
      </c>
      <c r="E53" s="82" t="n">
        <v>3</v>
      </c>
      <c r="F53" s="82" t="n">
        <v>2</v>
      </c>
      <c r="G53" s="82" t="n">
        <v>1</v>
      </c>
      <c r="H53" s="82" t="n">
        <v>6</v>
      </c>
      <c r="I53" s="82" t="n">
        <v>4</v>
      </c>
      <c r="J53" s="82" t="n">
        <v>7</v>
      </c>
      <c r="K53" s="82" t="n">
        <v>0</v>
      </c>
      <c r="L53" s="82" t="n">
        <v>3</v>
      </c>
      <c r="M53" s="82" t="n">
        <v>6</v>
      </c>
      <c r="N53" s="82" t="n">
        <v>0</v>
      </c>
      <c r="O53" s="82" t="n">
        <v>33</v>
      </c>
    </row>
    <row r="54" customFormat="false" ht="15" hidden="false" customHeight="false" outlineLevel="0" collapsed="false">
      <c r="A54" s="25"/>
      <c r="B54" s="25" t="s">
        <v>111</v>
      </c>
      <c r="C54" s="82" t="n">
        <v>0</v>
      </c>
      <c r="D54" s="82" t="n">
        <v>0</v>
      </c>
      <c r="E54" s="82" t="n">
        <v>0</v>
      </c>
      <c r="F54" s="82" t="n">
        <v>0</v>
      </c>
      <c r="G54" s="82" t="n">
        <v>0</v>
      </c>
      <c r="H54" s="82" t="n">
        <v>0</v>
      </c>
      <c r="I54" s="82" t="n">
        <v>0</v>
      </c>
      <c r="J54" s="82" t="n">
        <v>0</v>
      </c>
      <c r="K54" s="82" t="n">
        <v>0</v>
      </c>
      <c r="L54" s="82" t="n">
        <v>0</v>
      </c>
      <c r="M54" s="82" t="n">
        <v>0</v>
      </c>
      <c r="N54" s="82" t="n">
        <v>0</v>
      </c>
      <c r="O54" s="82" t="n">
        <v>0</v>
      </c>
    </row>
    <row r="55" customFormat="false" ht="15" hidden="false" customHeight="false" outlineLevel="0" collapsed="false">
      <c r="A55" s="25"/>
      <c r="B55" s="25" t="s">
        <v>112</v>
      </c>
      <c r="C55" s="82" t="n">
        <v>0</v>
      </c>
      <c r="D55" s="82" t="n">
        <v>0</v>
      </c>
      <c r="E55" s="82" t="n">
        <v>0</v>
      </c>
      <c r="F55" s="82" t="n">
        <v>0</v>
      </c>
      <c r="G55" s="82" t="n">
        <v>0</v>
      </c>
      <c r="H55" s="82" t="n">
        <v>0</v>
      </c>
      <c r="I55" s="82" t="n">
        <v>0</v>
      </c>
      <c r="J55" s="82" t="n">
        <v>0</v>
      </c>
      <c r="K55" s="82" t="n">
        <v>0</v>
      </c>
      <c r="L55" s="82" t="n">
        <v>0</v>
      </c>
      <c r="M55" s="82" t="n">
        <v>0</v>
      </c>
      <c r="N55" s="82" t="n">
        <v>0</v>
      </c>
      <c r="O55" s="82" t="n">
        <v>0</v>
      </c>
    </row>
    <row r="56" customFormat="false" ht="15" hidden="false" customHeight="false" outlineLevel="0" collapsed="false">
      <c r="A56" s="25"/>
      <c r="B56" s="25" t="s">
        <v>113</v>
      </c>
      <c r="C56" s="82" t="n">
        <v>0</v>
      </c>
      <c r="D56" s="82" t="n">
        <v>0</v>
      </c>
      <c r="E56" s="82" t="n">
        <v>0</v>
      </c>
      <c r="F56" s="82" t="n">
        <v>0</v>
      </c>
      <c r="G56" s="82" t="n">
        <v>0</v>
      </c>
      <c r="H56" s="82" t="n">
        <v>0</v>
      </c>
      <c r="I56" s="82" t="n">
        <v>0</v>
      </c>
      <c r="J56" s="82" t="n">
        <v>0</v>
      </c>
      <c r="K56" s="82" t="n">
        <v>0</v>
      </c>
      <c r="L56" s="82" t="n">
        <v>0</v>
      </c>
      <c r="M56" s="82" t="n">
        <v>0</v>
      </c>
      <c r="N56" s="82" t="n">
        <v>0</v>
      </c>
      <c r="O56" s="82" t="n">
        <v>0</v>
      </c>
    </row>
    <row r="57" customFormat="false" ht="15" hidden="false" customHeight="false" outlineLevel="0" collapsed="false">
      <c r="A57" s="25"/>
      <c r="B57" s="25" t="s">
        <v>114</v>
      </c>
      <c r="C57" s="82" t="n">
        <v>0</v>
      </c>
      <c r="D57" s="82" t="n">
        <v>0</v>
      </c>
      <c r="E57" s="82" t="n">
        <v>0</v>
      </c>
      <c r="F57" s="82" t="n">
        <v>0</v>
      </c>
      <c r="G57" s="82" t="n">
        <v>0</v>
      </c>
      <c r="H57" s="82" t="n">
        <v>0</v>
      </c>
      <c r="I57" s="82" t="n">
        <v>0</v>
      </c>
      <c r="J57" s="82" t="n">
        <v>0</v>
      </c>
      <c r="K57" s="82" t="n">
        <v>0</v>
      </c>
      <c r="L57" s="82" t="n">
        <v>0</v>
      </c>
      <c r="M57" s="82" t="n">
        <v>0</v>
      </c>
      <c r="N57" s="82" t="n">
        <v>0</v>
      </c>
      <c r="O57" s="82" t="n">
        <v>0</v>
      </c>
    </row>
    <row r="58" customFormat="false" ht="15" hidden="false" customHeight="false" outlineLevel="0" collapsed="false">
      <c r="A58" s="25"/>
      <c r="B58" s="25" t="s">
        <v>115</v>
      </c>
      <c r="C58" s="82" t="n">
        <v>0</v>
      </c>
      <c r="D58" s="82" t="n">
        <v>4</v>
      </c>
      <c r="E58" s="82" t="n">
        <v>4</v>
      </c>
      <c r="F58" s="82" t="n">
        <v>1</v>
      </c>
      <c r="G58" s="82" t="n">
        <v>25</v>
      </c>
      <c r="H58" s="82" t="n">
        <v>15</v>
      </c>
      <c r="I58" s="82" t="n">
        <v>7</v>
      </c>
      <c r="J58" s="82" t="n">
        <v>4</v>
      </c>
      <c r="K58" s="82" t="n">
        <v>0</v>
      </c>
      <c r="L58" s="82" t="n">
        <v>0</v>
      </c>
      <c r="M58" s="82" t="n">
        <v>3</v>
      </c>
      <c r="N58" s="82" t="n">
        <v>1</v>
      </c>
      <c r="O58" s="82" t="n">
        <v>64</v>
      </c>
    </row>
    <row r="59" customFormat="false" ht="15" hidden="false" customHeight="false" outlineLevel="0" collapsed="false">
      <c r="A59" s="25"/>
      <c r="B59" s="25" t="s">
        <v>116</v>
      </c>
      <c r="C59" s="82" t="n">
        <v>0</v>
      </c>
      <c r="D59" s="82" t="n">
        <v>0</v>
      </c>
      <c r="E59" s="82" t="n">
        <v>0</v>
      </c>
      <c r="F59" s="82" t="n">
        <v>0</v>
      </c>
      <c r="G59" s="82" t="n">
        <v>0</v>
      </c>
      <c r="H59" s="82" t="n">
        <v>0</v>
      </c>
      <c r="I59" s="82" t="n">
        <v>0</v>
      </c>
      <c r="J59" s="82" t="n">
        <v>0</v>
      </c>
      <c r="K59" s="82" t="n">
        <v>0</v>
      </c>
      <c r="L59" s="82" t="n">
        <v>0</v>
      </c>
      <c r="M59" s="82" t="n">
        <v>0</v>
      </c>
      <c r="N59" s="82" t="n">
        <v>0</v>
      </c>
      <c r="O59" s="82" t="n">
        <v>0</v>
      </c>
    </row>
    <row r="60" customFormat="false" ht="15.75" hidden="false" customHeight="false" outlineLevel="0" collapsed="false">
      <c r="A60" s="27"/>
      <c r="B60" s="28" t="s">
        <v>22</v>
      </c>
      <c r="C60" s="84" t="n">
        <v>3</v>
      </c>
      <c r="D60" s="84" t="n">
        <v>13</v>
      </c>
      <c r="E60" s="84" t="n">
        <v>46</v>
      </c>
      <c r="F60" s="84" t="n">
        <v>14</v>
      </c>
      <c r="G60" s="84" t="n">
        <v>71</v>
      </c>
      <c r="H60" s="84" t="n">
        <v>89</v>
      </c>
      <c r="I60" s="84" t="n">
        <v>44</v>
      </c>
      <c r="J60" s="84" t="n">
        <v>42</v>
      </c>
      <c r="K60" s="84" t="n">
        <v>3</v>
      </c>
      <c r="L60" s="84" t="n">
        <v>6</v>
      </c>
      <c r="M60" s="84" t="n">
        <v>26</v>
      </c>
      <c r="N60" s="84" t="n">
        <v>2</v>
      </c>
      <c r="O60" s="85" t="n">
        <v>359</v>
      </c>
    </row>
    <row r="61" customFormat="false" ht="15.75" hidden="false" customHeight="false" outlineLevel="0" collapsed="false">
      <c r="A61" s="49"/>
      <c r="B61" s="49" t="s">
        <v>74</v>
      </c>
      <c r="C61" s="74" t="n">
        <v>24</v>
      </c>
      <c r="D61" s="74" t="n">
        <v>39</v>
      </c>
      <c r="E61" s="74" t="n">
        <v>257</v>
      </c>
      <c r="F61" s="74" t="n">
        <v>84</v>
      </c>
      <c r="G61" s="74" t="n">
        <v>262</v>
      </c>
      <c r="H61" s="74" t="n">
        <v>269</v>
      </c>
      <c r="I61" s="74" t="n">
        <v>144</v>
      </c>
      <c r="J61" s="74" t="n">
        <v>131</v>
      </c>
      <c r="K61" s="74" t="n">
        <v>7</v>
      </c>
      <c r="L61" s="74" t="n">
        <v>33</v>
      </c>
      <c r="M61" s="74" t="n">
        <v>120</v>
      </c>
      <c r="N61" s="74" t="n">
        <v>12</v>
      </c>
      <c r="O61" s="74" t="n">
        <v>1382</v>
      </c>
    </row>
    <row r="62" customFormat="false" ht="15" hidden="false" customHeight="false" outlineLevel="0" collapsed="false">
      <c r="A62" s="51"/>
      <c r="B62" s="51" t="s">
        <v>117</v>
      </c>
      <c r="C62" s="75" t="n">
        <v>0.0173661360347323</v>
      </c>
      <c r="D62" s="75" t="n">
        <v>0.0282199710564399</v>
      </c>
      <c r="E62" s="75" t="n">
        <v>0.185962373371925</v>
      </c>
      <c r="F62" s="75" t="n">
        <v>0.060781476121563</v>
      </c>
      <c r="G62" s="75" t="n">
        <v>0.189580318379161</v>
      </c>
      <c r="H62" s="75" t="n">
        <v>0.194645441389291</v>
      </c>
      <c r="I62" s="75" t="n">
        <v>0.104196816208394</v>
      </c>
      <c r="J62" s="75" t="n">
        <v>0.0947901591895803</v>
      </c>
      <c r="K62" s="75" t="n">
        <v>0.00506512301013025</v>
      </c>
      <c r="L62" s="75" t="n">
        <v>0.0238784370477569</v>
      </c>
      <c r="M62" s="75" t="n">
        <v>0.0868306801736614</v>
      </c>
      <c r="N62" s="75" t="n">
        <v>0.00868306801736614</v>
      </c>
      <c r="O62" s="86" t="n">
        <v>1</v>
      </c>
    </row>
    <row r="63" customFormat="false" ht="15" hidden="false" customHeight="false" outlineLevel="0" collapsed="false">
      <c r="A63" s="34" t="s">
        <v>118</v>
      </c>
    </row>
  </sheetData>
  <mergeCells count="1">
    <mergeCell ref="A1:O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outlineLevelRow="0" outlineLevelCol="0"/>
  <cols>
    <col collapsed="false" customWidth="true" hidden="false" outlineLevel="0" max="1" min="1" style="0" width="26.42"/>
    <col collapsed="false" customWidth="true" hidden="false" outlineLevel="0" max="2" min="2" style="0" width="14.28"/>
    <col collapsed="false" customWidth="true" hidden="false" outlineLevel="0" max="1025" min="3" style="0" width="8.67"/>
  </cols>
  <sheetData>
    <row r="1" customFormat="false" ht="15" hidden="false" customHeight="false" outlineLevel="0" collapsed="false">
      <c r="A1" s="35" t="s">
        <v>174</v>
      </c>
      <c r="B1" s="35"/>
      <c r="C1" s="35"/>
      <c r="D1" s="35"/>
      <c r="E1" s="35"/>
      <c r="F1" s="35"/>
      <c r="G1" s="35"/>
      <c r="H1" s="35"/>
      <c r="I1" s="35"/>
      <c r="J1" s="35"/>
    </row>
    <row r="2" customFormat="false" ht="15" hidden="false" customHeight="false" outlineLevel="0" collapsed="false">
      <c r="A2" s="36"/>
      <c r="B2" s="36" t="s">
        <v>1</v>
      </c>
      <c r="C2" s="37" t="s">
        <v>175</v>
      </c>
      <c r="D2" s="37"/>
      <c r="E2" s="37"/>
      <c r="F2" s="37"/>
      <c r="G2" s="37"/>
      <c r="H2" s="37"/>
      <c r="I2" s="37"/>
      <c r="J2" s="36"/>
    </row>
    <row r="3" customFormat="false" ht="15" hidden="false" customHeight="true" outlineLevel="0" collapsed="false">
      <c r="A3" s="23" t="s">
        <v>2</v>
      </c>
      <c r="B3" s="23" t="s">
        <v>121</v>
      </c>
      <c r="C3" s="87" t="s">
        <v>176</v>
      </c>
      <c r="D3" s="88" t="s">
        <v>177</v>
      </c>
      <c r="E3" s="87" t="s">
        <v>178</v>
      </c>
      <c r="F3" s="87" t="s">
        <v>179</v>
      </c>
      <c r="G3" s="87" t="s">
        <v>180</v>
      </c>
      <c r="H3" s="87" t="s">
        <v>181</v>
      </c>
      <c r="I3" s="87" t="s">
        <v>162</v>
      </c>
      <c r="J3" s="23" t="s">
        <v>80</v>
      </c>
    </row>
    <row r="4" customFormat="false" ht="15" hidden="false" customHeight="false" outlineLevel="0" collapsed="false">
      <c r="A4" s="23"/>
      <c r="B4" s="23"/>
      <c r="C4" s="89" t="s">
        <v>182</v>
      </c>
      <c r="D4" s="89" t="s">
        <v>183</v>
      </c>
      <c r="E4" s="89" t="s">
        <v>184</v>
      </c>
      <c r="F4" s="89" t="s">
        <v>185</v>
      </c>
      <c r="G4" s="89" t="s">
        <v>186</v>
      </c>
      <c r="H4" s="89" t="s">
        <v>187</v>
      </c>
      <c r="I4" s="89" t="s">
        <v>173</v>
      </c>
      <c r="J4" s="23"/>
    </row>
    <row r="5" customFormat="false" ht="15" hidden="false" customHeight="false" outlineLevel="0" collapsed="false">
      <c r="A5" s="24" t="s">
        <v>81</v>
      </c>
      <c r="B5" s="25" t="s">
        <v>18</v>
      </c>
      <c r="C5" s="82" t="n">
        <v>0</v>
      </c>
      <c r="D5" s="82" t="n">
        <v>0</v>
      </c>
      <c r="E5" s="82" t="n">
        <v>0</v>
      </c>
      <c r="F5" s="82" t="n">
        <v>0</v>
      </c>
      <c r="G5" s="82" t="n">
        <v>0</v>
      </c>
      <c r="H5" s="82" t="n">
        <v>0</v>
      </c>
      <c r="I5" s="82" t="n">
        <v>0</v>
      </c>
      <c r="J5" s="90" t="n">
        <v>0</v>
      </c>
    </row>
    <row r="6" customFormat="false" ht="15" hidden="false" customHeight="false" outlineLevel="0" collapsed="false">
      <c r="A6" s="26"/>
      <c r="B6" s="25" t="s">
        <v>19</v>
      </c>
      <c r="C6" s="82" t="n">
        <v>0</v>
      </c>
      <c r="D6" s="82" t="n">
        <v>0</v>
      </c>
      <c r="E6" s="82" t="n">
        <v>1</v>
      </c>
      <c r="F6" s="82" t="n">
        <v>0</v>
      </c>
      <c r="G6" s="82" t="n">
        <v>0</v>
      </c>
      <c r="H6" s="82" t="n">
        <v>2</v>
      </c>
      <c r="I6" s="82" t="n">
        <v>1</v>
      </c>
      <c r="J6" s="90" t="n">
        <v>4</v>
      </c>
    </row>
    <row r="7" customFormat="false" ht="15" hidden="false" customHeight="false" outlineLevel="0" collapsed="false">
      <c r="A7" s="26"/>
      <c r="B7" s="25" t="s">
        <v>20</v>
      </c>
      <c r="C7" s="82" t="n">
        <v>0</v>
      </c>
      <c r="D7" s="82" t="n">
        <v>0</v>
      </c>
      <c r="E7" s="82" t="n">
        <v>0</v>
      </c>
      <c r="F7" s="82" t="n">
        <v>0</v>
      </c>
      <c r="G7" s="82" t="n">
        <v>0</v>
      </c>
      <c r="H7" s="82" t="n">
        <v>0</v>
      </c>
      <c r="I7" s="82" t="n">
        <v>0</v>
      </c>
      <c r="J7" s="90" t="n">
        <v>0</v>
      </c>
    </row>
    <row r="8" customFormat="false" ht="15" hidden="false" customHeight="false" outlineLevel="0" collapsed="false">
      <c r="A8" s="26"/>
      <c r="B8" s="25" t="s">
        <v>21</v>
      </c>
      <c r="C8" s="82" t="n">
        <v>0</v>
      </c>
      <c r="D8" s="82" t="n">
        <v>0</v>
      </c>
      <c r="E8" s="82" t="n">
        <v>0</v>
      </c>
      <c r="F8" s="82" t="n">
        <v>0</v>
      </c>
      <c r="G8" s="82" t="n">
        <v>1</v>
      </c>
      <c r="H8" s="82" t="n">
        <v>1</v>
      </c>
      <c r="I8" s="82" t="n">
        <v>0</v>
      </c>
      <c r="J8" s="90" t="n">
        <v>2</v>
      </c>
    </row>
    <row r="9" customFormat="false" ht="15" hidden="false" customHeight="false" outlineLevel="0" collapsed="false">
      <c r="A9" s="27"/>
      <c r="B9" s="28" t="s">
        <v>22</v>
      </c>
      <c r="C9" s="83" t="n">
        <v>0</v>
      </c>
      <c r="D9" s="83" t="n">
        <v>0</v>
      </c>
      <c r="E9" s="83" t="n">
        <v>1</v>
      </c>
      <c r="F9" s="83" t="n">
        <v>0</v>
      </c>
      <c r="G9" s="83" t="n">
        <v>1</v>
      </c>
      <c r="H9" s="83" t="n">
        <v>3</v>
      </c>
      <c r="I9" s="83" t="n">
        <v>1</v>
      </c>
      <c r="J9" s="83" t="n">
        <v>6</v>
      </c>
    </row>
    <row r="10" customFormat="false" ht="15" hidden="false" customHeight="false" outlineLevel="0" collapsed="false">
      <c r="A10" s="24" t="s">
        <v>82</v>
      </c>
      <c r="B10" s="25" t="s">
        <v>24</v>
      </c>
      <c r="C10" s="82" t="n">
        <v>0</v>
      </c>
      <c r="D10" s="82" t="n">
        <v>0</v>
      </c>
      <c r="E10" s="82" t="n">
        <v>0</v>
      </c>
      <c r="F10" s="82" t="n">
        <v>0</v>
      </c>
      <c r="G10" s="82" t="n">
        <v>0</v>
      </c>
      <c r="H10" s="82" t="n">
        <v>0</v>
      </c>
      <c r="I10" s="82" t="n">
        <v>0</v>
      </c>
      <c r="J10" s="90" t="n">
        <v>0</v>
      </c>
    </row>
    <row r="11" customFormat="false" ht="15" hidden="false" customHeight="false" outlineLevel="0" collapsed="false">
      <c r="A11" s="29"/>
      <c r="B11" s="25" t="s">
        <v>25</v>
      </c>
      <c r="C11" s="82" t="n">
        <v>2</v>
      </c>
      <c r="D11" s="82" t="n">
        <v>0</v>
      </c>
      <c r="E11" s="82" t="n">
        <v>0</v>
      </c>
      <c r="F11" s="82" t="n">
        <v>1</v>
      </c>
      <c r="G11" s="82" t="n">
        <v>0</v>
      </c>
      <c r="H11" s="82" t="n">
        <v>0</v>
      </c>
      <c r="I11" s="82" t="n">
        <v>0</v>
      </c>
      <c r="J11" s="90" t="n">
        <v>3</v>
      </c>
    </row>
    <row r="12" customFormat="false" ht="15" hidden="false" customHeight="false" outlineLevel="0" collapsed="false">
      <c r="A12" s="29"/>
      <c r="B12" s="25" t="s">
        <v>26</v>
      </c>
      <c r="C12" s="82" t="n">
        <v>0</v>
      </c>
      <c r="D12" s="82" t="n">
        <v>0</v>
      </c>
      <c r="E12" s="82" t="n">
        <v>0</v>
      </c>
      <c r="F12" s="82" t="n">
        <v>0</v>
      </c>
      <c r="G12" s="82" t="n">
        <v>0</v>
      </c>
      <c r="H12" s="82" t="n">
        <v>1</v>
      </c>
      <c r="I12" s="82" t="n">
        <v>0</v>
      </c>
      <c r="J12" s="90" t="n">
        <v>1</v>
      </c>
    </row>
    <row r="13" customFormat="false" ht="15" hidden="false" customHeight="false" outlineLevel="0" collapsed="false">
      <c r="A13" s="29"/>
      <c r="B13" s="25" t="s">
        <v>27</v>
      </c>
      <c r="C13" s="82" t="n">
        <v>0</v>
      </c>
      <c r="D13" s="82" t="n">
        <v>0</v>
      </c>
      <c r="E13" s="82" t="n">
        <v>0</v>
      </c>
      <c r="F13" s="82" t="n">
        <v>0</v>
      </c>
      <c r="G13" s="82" t="n">
        <v>0</v>
      </c>
      <c r="H13" s="82" t="n">
        <v>1</v>
      </c>
      <c r="I13" s="82" t="n">
        <v>1</v>
      </c>
      <c r="J13" s="90" t="n">
        <v>2</v>
      </c>
    </row>
    <row r="14" customFormat="false" ht="15" hidden="false" customHeight="false" outlineLevel="0" collapsed="false">
      <c r="A14" s="27"/>
      <c r="B14" s="28" t="s">
        <v>22</v>
      </c>
      <c r="C14" s="83" t="n">
        <v>2</v>
      </c>
      <c r="D14" s="83" t="n">
        <v>0</v>
      </c>
      <c r="E14" s="83" t="n">
        <v>0</v>
      </c>
      <c r="F14" s="83" t="n">
        <v>1</v>
      </c>
      <c r="G14" s="83" t="n">
        <v>0</v>
      </c>
      <c r="H14" s="83" t="n">
        <v>2</v>
      </c>
      <c r="I14" s="83" t="n">
        <v>1</v>
      </c>
      <c r="J14" s="83" t="n">
        <v>6</v>
      </c>
    </row>
    <row r="15" customFormat="false" ht="15" hidden="false" customHeight="false" outlineLevel="0" collapsed="false">
      <c r="A15" s="24" t="s">
        <v>83</v>
      </c>
      <c r="B15" s="25" t="s">
        <v>29</v>
      </c>
      <c r="C15" s="82" t="n">
        <v>0</v>
      </c>
      <c r="D15" s="82" t="n">
        <v>0</v>
      </c>
      <c r="E15" s="82" t="n">
        <v>0</v>
      </c>
      <c r="F15" s="82" t="n">
        <v>0</v>
      </c>
      <c r="G15" s="82" t="n">
        <v>0</v>
      </c>
      <c r="H15" s="82" t="n">
        <v>0</v>
      </c>
      <c r="I15" s="82" t="n">
        <v>0</v>
      </c>
      <c r="J15" s="90" t="n">
        <v>0</v>
      </c>
    </row>
    <row r="16" customFormat="false" ht="15" hidden="false" customHeight="false" outlineLevel="0" collapsed="false">
      <c r="A16" s="27"/>
      <c r="B16" s="28" t="s">
        <v>22</v>
      </c>
      <c r="C16" s="83" t="n">
        <v>0</v>
      </c>
      <c r="D16" s="83" t="n">
        <v>0</v>
      </c>
      <c r="E16" s="83" t="n">
        <v>0</v>
      </c>
      <c r="F16" s="83" t="n">
        <v>0</v>
      </c>
      <c r="G16" s="83" t="n">
        <v>0</v>
      </c>
      <c r="H16" s="83" t="n">
        <v>0</v>
      </c>
      <c r="I16" s="83" t="n">
        <v>0</v>
      </c>
      <c r="J16" s="83" t="n">
        <v>0</v>
      </c>
    </row>
    <row r="17" customFormat="false" ht="15" hidden="false" customHeight="false" outlineLevel="0" collapsed="false">
      <c r="A17" s="24" t="s">
        <v>84</v>
      </c>
      <c r="B17" s="25" t="s">
        <v>31</v>
      </c>
      <c r="C17" s="82" t="n">
        <v>0</v>
      </c>
      <c r="D17" s="82" t="n">
        <v>0</v>
      </c>
      <c r="E17" s="82" t="n">
        <v>0</v>
      </c>
      <c r="F17" s="82" t="n">
        <v>0</v>
      </c>
      <c r="G17" s="82" t="n">
        <v>0</v>
      </c>
      <c r="H17" s="82" t="n">
        <v>0</v>
      </c>
      <c r="I17" s="82" t="n">
        <v>0</v>
      </c>
      <c r="J17" s="90" t="n">
        <v>0</v>
      </c>
    </row>
    <row r="18" customFormat="false" ht="15" hidden="false" customHeight="false" outlineLevel="0" collapsed="false">
      <c r="A18" s="25"/>
      <c r="B18" s="25" t="s">
        <v>32</v>
      </c>
      <c r="C18" s="82" t="n">
        <v>0</v>
      </c>
      <c r="D18" s="82" t="n">
        <v>0</v>
      </c>
      <c r="E18" s="82" t="n">
        <v>0</v>
      </c>
      <c r="F18" s="82" t="n">
        <v>0</v>
      </c>
      <c r="G18" s="82" t="n">
        <v>1</v>
      </c>
      <c r="H18" s="82" t="n">
        <v>0</v>
      </c>
      <c r="I18" s="82" t="n">
        <v>0</v>
      </c>
      <c r="J18" s="90" t="n">
        <v>1</v>
      </c>
    </row>
    <row r="19" customFormat="false" ht="15" hidden="false" customHeight="false" outlineLevel="0" collapsed="false">
      <c r="A19" s="25"/>
      <c r="B19" s="25" t="s">
        <v>33</v>
      </c>
      <c r="C19" s="82" t="n">
        <v>0</v>
      </c>
      <c r="D19" s="82" t="n">
        <v>0</v>
      </c>
      <c r="E19" s="82" t="n">
        <v>0</v>
      </c>
      <c r="F19" s="82" t="n">
        <v>0</v>
      </c>
      <c r="G19" s="82" t="n">
        <v>0</v>
      </c>
      <c r="H19" s="82" t="n">
        <v>0</v>
      </c>
      <c r="I19" s="82" t="n">
        <v>0</v>
      </c>
      <c r="J19" s="90" t="n">
        <v>0</v>
      </c>
    </row>
    <row r="20" customFormat="false" ht="15" hidden="false" customHeight="false" outlineLevel="0" collapsed="false">
      <c r="A20" s="27"/>
      <c r="B20" s="28" t="s">
        <v>22</v>
      </c>
      <c r="C20" s="83" t="n">
        <v>0</v>
      </c>
      <c r="D20" s="83" t="n">
        <v>0</v>
      </c>
      <c r="E20" s="83" t="n">
        <v>0</v>
      </c>
      <c r="F20" s="83" t="n">
        <v>0</v>
      </c>
      <c r="G20" s="83" t="n">
        <v>1</v>
      </c>
      <c r="H20" s="83" t="n">
        <v>0</v>
      </c>
      <c r="I20" s="83" t="n">
        <v>0</v>
      </c>
      <c r="J20" s="83" t="n">
        <v>1</v>
      </c>
    </row>
    <row r="21" customFormat="false" ht="15" hidden="false" customHeight="false" outlineLevel="0" collapsed="false">
      <c r="A21" s="24" t="s">
        <v>85</v>
      </c>
      <c r="B21" s="25" t="s">
        <v>35</v>
      </c>
      <c r="C21" s="82" t="n">
        <v>0</v>
      </c>
      <c r="D21" s="82" t="n">
        <v>0</v>
      </c>
      <c r="E21" s="82" t="n">
        <v>0</v>
      </c>
      <c r="F21" s="82" t="n">
        <v>3</v>
      </c>
      <c r="G21" s="82" t="n">
        <v>0</v>
      </c>
      <c r="H21" s="82" t="n">
        <v>0</v>
      </c>
      <c r="I21" s="82" t="n">
        <v>0</v>
      </c>
      <c r="J21" s="90" t="n">
        <v>3</v>
      </c>
    </row>
    <row r="22" customFormat="false" ht="15" hidden="false" customHeight="false" outlineLevel="0" collapsed="false">
      <c r="A22" s="25"/>
      <c r="B22" s="25" t="s">
        <v>36</v>
      </c>
      <c r="C22" s="82" t="n">
        <v>0</v>
      </c>
      <c r="D22" s="82" t="n">
        <v>0</v>
      </c>
      <c r="E22" s="82" t="n">
        <v>0</v>
      </c>
      <c r="F22" s="82" t="n">
        <v>1</v>
      </c>
      <c r="G22" s="82" t="n">
        <v>0</v>
      </c>
      <c r="H22" s="82" t="n">
        <v>1</v>
      </c>
      <c r="I22" s="82" t="n">
        <v>0</v>
      </c>
      <c r="J22" s="90" t="n">
        <v>2</v>
      </c>
    </row>
    <row r="23" customFormat="false" ht="15" hidden="false" customHeight="false" outlineLevel="0" collapsed="false">
      <c r="A23" s="25"/>
      <c r="B23" s="25" t="s">
        <v>37</v>
      </c>
      <c r="C23" s="82" t="n">
        <v>0</v>
      </c>
      <c r="D23" s="82" t="n">
        <v>0</v>
      </c>
      <c r="E23" s="82" t="n">
        <v>0</v>
      </c>
      <c r="F23" s="82" t="n">
        <v>0</v>
      </c>
      <c r="G23" s="82" t="n">
        <v>0</v>
      </c>
      <c r="H23" s="82" t="n">
        <v>1</v>
      </c>
      <c r="I23" s="82" t="n">
        <v>0</v>
      </c>
      <c r="J23" s="90" t="n">
        <v>1</v>
      </c>
    </row>
    <row r="24" customFormat="false" ht="15" hidden="false" customHeight="false" outlineLevel="0" collapsed="false">
      <c r="A24" s="27"/>
      <c r="B24" s="28" t="s">
        <v>22</v>
      </c>
      <c r="C24" s="83" t="n">
        <v>0</v>
      </c>
      <c r="D24" s="83" t="n">
        <v>0</v>
      </c>
      <c r="E24" s="83" t="n">
        <v>0</v>
      </c>
      <c r="F24" s="83" t="n">
        <v>4</v>
      </c>
      <c r="G24" s="83" t="n">
        <v>0</v>
      </c>
      <c r="H24" s="83" t="n">
        <v>2</v>
      </c>
      <c r="I24" s="83" t="n">
        <v>0</v>
      </c>
      <c r="J24" s="83" t="n">
        <v>6</v>
      </c>
    </row>
    <row r="25" customFormat="false" ht="15" hidden="false" customHeight="false" outlineLevel="0" collapsed="false">
      <c r="A25" s="24" t="s">
        <v>86</v>
      </c>
      <c r="B25" s="25" t="s">
        <v>39</v>
      </c>
      <c r="C25" s="82" t="n">
        <v>0</v>
      </c>
      <c r="D25" s="82" t="n">
        <v>0</v>
      </c>
      <c r="E25" s="82" t="n">
        <v>0</v>
      </c>
      <c r="F25" s="82" t="n">
        <v>0</v>
      </c>
      <c r="G25" s="82" t="n">
        <v>0</v>
      </c>
      <c r="H25" s="82" t="n">
        <v>0</v>
      </c>
      <c r="I25" s="82" t="n">
        <v>0</v>
      </c>
      <c r="J25" s="90" t="n">
        <v>0</v>
      </c>
    </row>
    <row r="26" customFormat="false" ht="15" hidden="false" customHeight="false" outlineLevel="0" collapsed="false">
      <c r="A26" s="25"/>
      <c r="B26" s="25" t="s">
        <v>40</v>
      </c>
      <c r="C26" s="82" t="n">
        <v>0</v>
      </c>
      <c r="D26" s="82" t="n">
        <v>1</v>
      </c>
      <c r="E26" s="82" t="n">
        <v>0</v>
      </c>
      <c r="F26" s="82" t="n">
        <v>0</v>
      </c>
      <c r="G26" s="82" t="n">
        <v>0</v>
      </c>
      <c r="H26" s="82" t="n">
        <v>0</v>
      </c>
      <c r="I26" s="82" t="n">
        <v>1</v>
      </c>
      <c r="J26" s="90" t="n">
        <v>2</v>
      </c>
    </row>
    <row r="27" customFormat="false" ht="15" hidden="false" customHeight="false" outlineLevel="0" collapsed="false">
      <c r="A27" s="25"/>
      <c r="B27" s="25" t="s">
        <v>41</v>
      </c>
      <c r="C27" s="82" t="n">
        <v>0</v>
      </c>
      <c r="D27" s="82" t="n">
        <v>0</v>
      </c>
      <c r="E27" s="82" t="n">
        <v>0</v>
      </c>
      <c r="F27" s="82" t="n">
        <v>1</v>
      </c>
      <c r="G27" s="82" t="n">
        <v>2</v>
      </c>
      <c r="H27" s="82" t="n">
        <v>13</v>
      </c>
      <c r="I27" s="82" t="n">
        <v>0</v>
      </c>
      <c r="J27" s="90" t="n">
        <v>16</v>
      </c>
    </row>
    <row r="28" customFormat="false" ht="15" hidden="false" customHeight="false" outlineLevel="0" collapsed="false">
      <c r="A28" s="25"/>
      <c r="B28" s="25" t="s">
        <v>42</v>
      </c>
      <c r="C28" s="82" t="n">
        <v>0</v>
      </c>
      <c r="D28" s="82" t="n">
        <v>0</v>
      </c>
      <c r="E28" s="82" t="n">
        <v>0</v>
      </c>
      <c r="F28" s="82" t="n">
        <v>0</v>
      </c>
      <c r="G28" s="82" t="n">
        <v>1</v>
      </c>
      <c r="H28" s="82" t="n">
        <v>1</v>
      </c>
      <c r="I28" s="82" t="n">
        <v>0</v>
      </c>
      <c r="J28" s="90" t="n">
        <v>2</v>
      </c>
    </row>
    <row r="29" customFormat="false" ht="15" hidden="false" customHeight="false" outlineLevel="0" collapsed="false">
      <c r="A29" s="27"/>
      <c r="B29" s="28" t="s">
        <v>22</v>
      </c>
      <c r="C29" s="83" t="n">
        <v>0</v>
      </c>
      <c r="D29" s="83" t="n">
        <v>1</v>
      </c>
      <c r="E29" s="83" t="n">
        <v>0</v>
      </c>
      <c r="F29" s="83" t="n">
        <v>1</v>
      </c>
      <c r="G29" s="83" t="n">
        <v>3</v>
      </c>
      <c r="H29" s="83" t="n">
        <v>14</v>
      </c>
      <c r="I29" s="83" t="n">
        <v>1</v>
      </c>
      <c r="J29" s="83" t="n">
        <v>20</v>
      </c>
    </row>
    <row r="30" customFormat="false" ht="15" hidden="false" customHeight="false" outlineLevel="0" collapsed="false">
      <c r="A30" s="24" t="s">
        <v>87</v>
      </c>
      <c r="B30" s="25" t="s">
        <v>44</v>
      </c>
      <c r="C30" s="82" t="n">
        <v>0</v>
      </c>
      <c r="D30" s="82" t="n">
        <v>0</v>
      </c>
      <c r="E30" s="82" t="n">
        <v>3</v>
      </c>
      <c r="F30" s="82" t="n">
        <v>3</v>
      </c>
      <c r="G30" s="82" t="n">
        <v>2</v>
      </c>
      <c r="H30" s="82" t="n">
        <v>9</v>
      </c>
      <c r="I30" s="82" t="n">
        <v>2</v>
      </c>
      <c r="J30" s="90" t="n">
        <v>19</v>
      </c>
    </row>
    <row r="31" customFormat="false" ht="15" hidden="false" customHeight="false" outlineLevel="0" collapsed="false">
      <c r="A31" s="25"/>
      <c r="B31" s="25" t="s">
        <v>45</v>
      </c>
      <c r="C31" s="82" t="n">
        <v>0</v>
      </c>
      <c r="D31" s="82" t="n">
        <v>0</v>
      </c>
      <c r="E31" s="82" t="n">
        <v>0</v>
      </c>
      <c r="F31" s="82" t="n">
        <v>0</v>
      </c>
      <c r="G31" s="82" t="n">
        <v>0</v>
      </c>
      <c r="H31" s="82" t="n">
        <v>0</v>
      </c>
      <c r="I31" s="82" t="n">
        <v>1</v>
      </c>
      <c r="J31" s="90" t="n">
        <v>1</v>
      </c>
    </row>
    <row r="32" customFormat="false" ht="15" hidden="false" customHeight="false" outlineLevel="0" collapsed="false">
      <c r="A32" s="25"/>
      <c r="B32" s="25" t="s">
        <v>46</v>
      </c>
      <c r="C32" s="82" t="n">
        <v>2</v>
      </c>
      <c r="D32" s="82" t="n">
        <v>4</v>
      </c>
      <c r="E32" s="82" t="n">
        <v>4</v>
      </c>
      <c r="F32" s="82" t="n">
        <v>7</v>
      </c>
      <c r="G32" s="82" t="n">
        <v>6</v>
      </c>
      <c r="H32" s="82" t="n">
        <v>23</v>
      </c>
      <c r="I32" s="82" t="n">
        <v>11</v>
      </c>
      <c r="J32" s="90" t="n">
        <v>57</v>
      </c>
    </row>
    <row r="33" customFormat="false" ht="15" hidden="false" customHeight="false" outlineLevel="0" collapsed="false">
      <c r="A33" s="27"/>
      <c r="B33" s="28" t="s">
        <v>22</v>
      </c>
      <c r="C33" s="83" t="n">
        <v>2</v>
      </c>
      <c r="D33" s="83" t="n">
        <v>4</v>
      </c>
      <c r="E33" s="83" t="n">
        <v>7</v>
      </c>
      <c r="F33" s="83" t="n">
        <v>10</v>
      </c>
      <c r="G33" s="83" t="n">
        <v>8</v>
      </c>
      <c r="H33" s="83" t="n">
        <v>32</v>
      </c>
      <c r="I33" s="83" t="n">
        <v>14</v>
      </c>
      <c r="J33" s="83" t="n">
        <v>77</v>
      </c>
    </row>
    <row r="34" customFormat="false" ht="15" hidden="false" customHeight="false" outlineLevel="0" collapsed="false">
      <c r="A34" s="24" t="s">
        <v>90</v>
      </c>
      <c r="B34" s="25" t="s">
        <v>91</v>
      </c>
      <c r="C34" s="82" t="n">
        <v>0</v>
      </c>
      <c r="D34" s="82" t="n">
        <v>0</v>
      </c>
      <c r="E34" s="82" t="n">
        <v>0</v>
      </c>
      <c r="F34" s="82" t="n">
        <v>0</v>
      </c>
      <c r="G34" s="82" t="n">
        <v>0</v>
      </c>
      <c r="H34" s="82" t="n">
        <v>0</v>
      </c>
      <c r="I34" s="82" t="n">
        <v>0</v>
      </c>
      <c r="J34" s="90" t="n">
        <v>0</v>
      </c>
    </row>
    <row r="35" customFormat="false" ht="15" hidden="false" customHeight="false" outlineLevel="0" collapsed="false">
      <c r="A35" s="25"/>
      <c r="B35" s="25" t="s">
        <v>92</v>
      </c>
      <c r="C35" s="82" t="n">
        <v>1</v>
      </c>
      <c r="D35" s="82" t="n">
        <v>1</v>
      </c>
      <c r="E35" s="82" t="n">
        <v>1</v>
      </c>
      <c r="F35" s="82" t="n">
        <v>4</v>
      </c>
      <c r="G35" s="82" t="n">
        <v>0</v>
      </c>
      <c r="H35" s="82" t="n">
        <v>16</v>
      </c>
      <c r="I35" s="82" t="n">
        <v>1</v>
      </c>
      <c r="J35" s="90" t="n">
        <v>24</v>
      </c>
    </row>
    <row r="36" customFormat="false" ht="15" hidden="false" customHeight="false" outlineLevel="0" collapsed="false">
      <c r="A36" s="25"/>
      <c r="B36" s="25" t="s">
        <v>93</v>
      </c>
      <c r="C36" s="82" t="n">
        <v>0</v>
      </c>
      <c r="D36" s="82" t="n">
        <v>0</v>
      </c>
      <c r="E36" s="82" t="n">
        <v>0</v>
      </c>
      <c r="F36" s="82" t="n">
        <v>0</v>
      </c>
      <c r="G36" s="82" t="n">
        <v>0</v>
      </c>
      <c r="H36" s="82" t="n">
        <v>0</v>
      </c>
      <c r="I36" s="82" t="n">
        <v>0</v>
      </c>
      <c r="J36" s="90" t="n">
        <v>0</v>
      </c>
    </row>
    <row r="37" customFormat="false" ht="15" hidden="false" customHeight="false" outlineLevel="0" collapsed="false">
      <c r="A37" s="25"/>
      <c r="B37" s="25" t="s">
        <v>94</v>
      </c>
      <c r="C37" s="82" t="n">
        <v>0</v>
      </c>
      <c r="D37" s="82" t="n">
        <v>2</v>
      </c>
      <c r="E37" s="82" t="n">
        <v>1</v>
      </c>
      <c r="F37" s="82" t="n">
        <v>2</v>
      </c>
      <c r="G37" s="82" t="n">
        <v>2</v>
      </c>
      <c r="H37" s="82" t="n">
        <v>12</v>
      </c>
      <c r="I37" s="82" t="n">
        <v>1</v>
      </c>
      <c r="J37" s="90" t="n">
        <v>20</v>
      </c>
    </row>
    <row r="38" customFormat="false" ht="15" hidden="false" customHeight="false" outlineLevel="0" collapsed="false">
      <c r="A38" s="25"/>
      <c r="B38" s="25" t="s">
        <v>95</v>
      </c>
      <c r="C38" s="82" t="n">
        <v>0</v>
      </c>
      <c r="D38" s="82" t="n">
        <v>0</v>
      </c>
      <c r="E38" s="82" t="n">
        <v>1</v>
      </c>
      <c r="F38" s="82" t="n">
        <v>2</v>
      </c>
      <c r="G38" s="82" t="n">
        <v>3</v>
      </c>
      <c r="H38" s="82" t="n">
        <v>17</v>
      </c>
      <c r="I38" s="82" t="n">
        <v>2</v>
      </c>
      <c r="J38" s="90" t="n">
        <v>25</v>
      </c>
    </row>
    <row r="39" customFormat="false" ht="15" hidden="false" customHeight="false" outlineLevel="0" collapsed="false">
      <c r="A39" s="25"/>
      <c r="B39" s="25" t="s">
        <v>96</v>
      </c>
      <c r="C39" s="82" t="n">
        <v>1</v>
      </c>
      <c r="D39" s="82" t="n">
        <v>2</v>
      </c>
      <c r="E39" s="82" t="n">
        <v>2</v>
      </c>
      <c r="F39" s="82" t="n">
        <v>5</v>
      </c>
      <c r="G39" s="82" t="n">
        <v>1</v>
      </c>
      <c r="H39" s="82" t="n">
        <v>17</v>
      </c>
      <c r="I39" s="82" t="n">
        <v>1</v>
      </c>
      <c r="J39" s="90" t="n">
        <v>29</v>
      </c>
    </row>
    <row r="40" customFormat="false" ht="15" hidden="false" customHeight="false" outlineLevel="0" collapsed="false">
      <c r="A40" s="25"/>
      <c r="B40" s="25" t="s">
        <v>97</v>
      </c>
      <c r="C40" s="82" t="n">
        <v>0</v>
      </c>
      <c r="D40" s="82" t="n">
        <v>1</v>
      </c>
      <c r="E40" s="82" t="n">
        <v>0</v>
      </c>
      <c r="F40" s="82" t="n">
        <v>1</v>
      </c>
      <c r="G40" s="82" t="n">
        <v>1</v>
      </c>
      <c r="H40" s="82" t="n">
        <v>7</v>
      </c>
      <c r="I40" s="82" t="n">
        <v>2</v>
      </c>
      <c r="J40" s="90" t="n">
        <v>12</v>
      </c>
    </row>
    <row r="41" customFormat="false" ht="15" hidden="false" customHeight="false" outlineLevel="0" collapsed="false">
      <c r="A41" s="25"/>
      <c r="B41" s="25" t="s">
        <v>98</v>
      </c>
      <c r="C41" s="82" t="n">
        <v>0</v>
      </c>
      <c r="D41" s="82" t="n">
        <v>0</v>
      </c>
      <c r="E41" s="82" t="n">
        <v>0</v>
      </c>
      <c r="F41" s="82" t="n">
        <v>0</v>
      </c>
      <c r="G41" s="82" t="n">
        <v>0</v>
      </c>
      <c r="H41" s="82" t="n">
        <v>0</v>
      </c>
      <c r="I41" s="82" t="n">
        <v>0</v>
      </c>
      <c r="J41" s="90" t="n">
        <v>0</v>
      </c>
    </row>
    <row r="42" customFormat="false" ht="15" hidden="false" customHeight="false" outlineLevel="0" collapsed="false">
      <c r="A42" s="25"/>
      <c r="B42" s="25" t="s">
        <v>99</v>
      </c>
      <c r="C42" s="82" t="n">
        <v>0</v>
      </c>
      <c r="D42" s="82" t="n">
        <v>1</v>
      </c>
      <c r="E42" s="82" t="n">
        <v>0</v>
      </c>
      <c r="F42" s="82" t="n">
        <v>1</v>
      </c>
      <c r="G42" s="82" t="n">
        <v>0</v>
      </c>
      <c r="H42" s="82" t="n">
        <v>4</v>
      </c>
      <c r="I42" s="82" t="n">
        <v>1</v>
      </c>
      <c r="J42" s="90" t="n">
        <v>7</v>
      </c>
    </row>
    <row r="43" customFormat="false" ht="15" hidden="false" customHeight="false" outlineLevel="0" collapsed="false">
      <c r="A43" s="27"/>
      <c r="B43" s="28" t="s">
        <v>22</v>
      </c>
      <c r="C43" s="83" t="n">
        <v>2</v>
      </c>
      <c r="D43" s="83" t="n">
        <v>7</v>
      </c>
      <c r="E43" s="83" t="n">
        <v>5</v>
      </c>
      <c r="F43" s="83" t="n">
        <v>15</v>
      </c>
      <c r="G43" s="83" t="n">
        <v>7</v>
      </c>
      <c r="H43" s="83" t="n">
        <v>73</v>
      </c>
      <c r="I43" s="83" t="n">
        <v>8</v>
      </c>
      <c r="J43" s="83" t="n">
        <v>117</v>
      </c>
    </row>
    <row r="44" customFormat="false" ht="15" hidden="false" customHeight="false" outlineLevel="0" collapsed="false">
      <c r="A44" s="24" t="s">
        <v>100</v>
      </c>
      <c r="B44" s="25" t="s">
        <v>101</v>
      </c>
      <c r="C44" s="82" t="n">
        <v>0</v>
      </c>
      <c r="D44" s="82" t="n">
        <v>2</v>
      </c>
      <c r="E44" s="82" t="n">
        <v>1</v>
      </c>
      <c r="F44" s="82" t="n">
        <v>1</v>
      </c>
      <c r="G44" s="82" t="n">
        <v>2</v>
      </c>
      <c r="H44" s="82" t="n">
        <v>25</v>
      </c>
      <c r="I44" s="82" t="n">
        <v>4</v>
      </c>
      <c r="J44" s="90" t="n">
        <v>35</v>
      </c>
    </row>
    <row r="45" customFormat="false" ht="15" hidden="false" customHeight="false" outlineLevel="0" collapsed="false">
      <c r="A45" s="25"/>
      <c r="B45" s="25" t="s">
        <v>102</v>
      </c>
      <c r="C45" s="82" t="n">
        <v>0</v>
      </c>
      <c r="D45" s="82" t="n">
        <v>0</v>
      </c>
      <c r="E45" s="82" t="n">
        <v>0</v>
      </c>
      <c r="F45" s="82" t="n">
        <v>0</v>
      </c>
      <c r="G45" s="82" t="n">
        <v>0</v>
      </c>
      <c r="H45" s="82" t="n">
        <v>0</v>
      </c>
      <c r="I45" s="82" t="n">
        <v>0</v>
      </c>
      <c r="J45" s="90" t="n">
        <v>0</v>
      </c>
    </row>
    <row r="46" customFormat="false" ht="15" hidden="false" customHeight="false" outlineLevel="0" collapsed="false">
      <c r="A46" s="25"/>
      <c r="B46" s="25" t="s">
        <v>103</v>
      </c>
      <c r="C46" s="82" t="n">
        <v>0</v>
      </c>
      <c r="D46" s="82" t="n">
        <v>0</v>
      </c>
      <c r="E46" s="82" t="n">
        <v>0</v>
      </c>
      <c r="F46" s="82" t="n">
        <v>0</v>
      </c>
      <c r="G46" s="82" t="n">
        <v>0</v>
      </c>
      <c r="H46" s="82" t="n">
        <v>1</v>
      </c>
      <c r="I46" s="82" t="n">
        <v>0</v>
      </c>
      <c r="J46" s="90" t="n">
        <v>1</v>
      </c>
    </row>
    <row r="47" customFormat="false" ht="15" hidden="false" customHeight="false" outlineLevel="0" collapsed="false">
      <c r="A47" s="25"/>
      <c r="B47" s="25" t="s">
        <v>104</v>
      </c>
      <c r="C47" s="82" t="n">
        <v>0</v>
      </c>
      <c r="D47" s="82" t="n">
        <v>0</v>
      </c>
      <c r="E47" s="82" t="n">
        <v>0</v>
      </c>
      <c r="F47" s="82" t="n">
        <v>0</v>
      </c>
      <c r="G47" s="82" t="n">
        <v>0</v>
      </c>
      <c r="H47" s="82" t="n">
        <v>0</v>
      </c>
      <c r="I47" s="82" t="n">
        <v>0</v>
      </c>
      <c r="J47" s="90" t="n">
        <v>0</v>
      </c>
    </row>
    <row r="48" customFormat="false" ht="15" hidden="false" customHeight="false" outlineLevel="0" collapsed="false">
      <c r="A48" s="25"/>
      <c r="B48" s="25" t="s">
        <v>105</v>
      </c>
      <c r="C48" s="82" t="n">
        <v>0</v>
      </c>
      <c r="D48" s="82" t="n">
        <v>0</v>
      </c>
      <c r="E48" s="82" t="n">
        <v>0</v>
      </c>
      <c r="F48" s="82" t="n">
        <v>0</v>
      </c>
      <c r="G48" s="82" t="n">
        <v>0</v>
      </c>
      <c r="H48" s="82" t="n">
        <v>0</v>
      </c>
      <c r="I48" s="82" t="n">
        <v>0</v>
      </c>
      <c r="J48" s="90" t="n">
        <v>0</v>
      </c>
    </row>
    <row r="49" customFormat="false" ht="15" hidden="false" customHeight="false" outlineLevel="0" collapsed="false">
      <c r="A49" s="25"/>
      <c r="B49" s="25" t="s">
        <v>106</v>
      </c>
      <c r="C49" s="82" t="n">
        <v>0</v>
      </c>
      <c r="D49" s="82" t="n">
        <v>0</v>
      </c>
      <c r="E49" s="82" t="n">
        <v>0</v>
      </c>
      <c r="F49" s="82" t="n">
        <v>0</v>
      </c>
      <c r="G49" s="82" t="n">
        <v>0</v>
      </c>
      <c r="H49" s="82" t="n">
        <v>0</v>
      </c>
      <c r="I49" s="82" t="n">
        <v>0</v>
      </c>
      <c r="J49" s="90" t="n">
        <v>0</v>
      </c>
    </row>
    <row r="50" customFormat="false" ht="15" hidden="false" customHeight="false" outlineLevel="0" collapsed="false">
      <c r="A50" s="25"/>
      <c r="B50" s="25" t="s">
        <v>107</v>
      </c>
      <c r="C50" s="82" t="n">
        <v>0</v>
      </c>
      <c r="D50" s="82" t="n">
        <v>0</v>
      </c>
      <c r="E50" s="82" t="n">
        <v>0</v>
      </c>
      <c r="F50" s="82" t="n">
        <v>0</v>
      </c>
      <c r="G50" s="82" t="n">
        <v>0</v>
      </c>
      <c r="H50" s="82" t="n">
        <v>0</v>
      </c>
      <c r="I50" s="82" t="n">
        <v>0</v>
      </c>
      <c r="J50" s="90" t="n">
        <v>0</v>
      </c>
    </row>
    <row r="51" customFormat="false" ht="15" hidden="false" customHeight="false" outlineLevel="0" collapsed="false">
      <c r="A51" s="25"/>
      <c r="B51" s="25" t="s">
        <v>108</v>
      </c>
      <c r="C51" s="82" t="n">
        <v>0</v>
      </c>
      <c r="D51" s="82" t="n">
        <v>1</v>
      </c>
      <c r="E51" s="82" t="n">
        <v>0</v>
      </c>
      <c r="F51" s="82" t="n">
        <v>0</v>
      </c>
      <c r="G51" s="82" t="n">
        <v>0</v>
      </c>
      <c r="H51" s="82" t="n">
        <v>2</v>
      </c>
      <c r="I51" s="82" t="n">
        <v>0</v>
      </c>
      <c r="J51" s="90" t="n">
        <v>3</v>
      </c>
    </row>
    <row r="52" customFormat="false" ht="15" hidden="false" customHeight="false" outlineLevel="0" collapsed="false">
      <c r="A52" s="25"/>
      <c r="B52" s="25" t="s">
        <v>109</v>
      </c>
      <c r="C52" s="82" t="n">
        <v>0</v>
      </c>
      <c r="D52" s="82" t="n">
        <v>2</v>
      </c>
      <c r="E52" s="82" t="n">
        <v>1</v>
      </c>
      <c r="F52" s="82" t="n">
        <v>3</v>
      </c>
      <c r="G52" s="82" t="n">
        <v>3</v>
      </c>
      <c r="H52" s="82" t="n">
        <v>15</v>
      </c>
      <c r="I52" s="82" t="n">
        <v>3</v>
      </c>
      <c r="J52" s="90" t="n">
        <v>27</v>
      </c>
    </row>
    <row r="53" customFormat="false" ht="15" hidden="false" customHeight="false" outlineLevel="0" collapsed="false">
      <c r="A53" s="25"/>
      <c r="B53" s="25" t="s">
        <v>110</v>
      </c>
      <c r="C53" s="82" t="n">
        <v>0</v>
      </c>
      <c r="D53" s="82" t="n">
        <v>0</v>
      </c>
      <c r="E53" s="82" t="n">
        <v>0</v>
      </c>
      <c r="F53" s="82" t="n">
        <v>1</v>
      </c>
      <c r="G53" s="82" t="n">
        <v>0</v>
      </c>
      <c r="H53" s="82" t="n">
        <v>6</v>
      </c>
      <c r="I53" s="82" t="n">
        <v>1</v>
      </c>
      <c r="J53" s="90" t="n">
        <v>8</v>
      </c>
    </row>
    <row r="54" customFormat="false" ht="15" hidden="false" customHeight="false" outlineLevel="0" collapsed="false">
      <c r="A54" s="25"/>
      <c r="B54" s="25" t="s">
        <v>111</v>
      </c>
      <c r="C54" s="82" t="n">
        <v>0</v>
      </c>
      <c r="D54" s="82" t="n">
        <v>0</v>
      </c>
      <c r="E54" s="82" t="n">
        <v>0</v>
      </c>
      <c r="F54" s="82" t="n">
        <v>0</v>
      </c>
      <c r="G54" s="82" t="n">
        <v>0</v>
      </c>
      <c r="H54" s="82" t="n">
        <v>0</v>
      </c>
      <c r="I54" s="82" t="n">
        <v>0</v>
      </c>
      <c r="J54" s="90" t="n">
        <v>0</v>
      </c>
    </row>
    <row r="55" customFormat="false" ht="15" hidden="false" customHeight="false" outlineLevel="0" collapsed="false">
      <c r="A55" s="25"/>
      <c r="B55" s="25" t="s">
        <v>112</v>
      </c>
      <c r="C55" s="82" t="n">
        <v>0</v>
      </c>
      <c r="D55" s="82" t="n">
        <v>0</v>
      </c>
      <c r="E55" s="82" t="n">
        <v>0</v>
      </c>
      <c r="F55" s="82" t="n">
        <v>0</v>
      </c>
      <c r="G55" s="82" t="n">
        <v>0</v>
      </c>
      <c r="H55" s="82" t="n">
        <v>0</v>
      </c>
      <c r="I55" s="82" t="n">
        <v>0</v>
      </c>
      <c r="J55" s="90" t="n">
        <v>0</v>
      </c>
    </row>
    <row r="56" customFormat="false" ht="15" hidden="false" customHeight="false" outlineLevel="0" collapsed="false">
      <c r="A56" s="25"/>
      <c r="B56" s="25" t="s">
        <v>113</v>
      </c>
      <c r="C56" s="82" t="n">
        <v>0</v>
      </c>
      <c r="D56" s="82" t="n">
        <v>0</v>
      </c>
      <c r="E56" s="82" t="n">
        <v>0</v>
      </c>
      <c r="F56" s="82" t="n">
        <v>0</v>
      </c>
      <c r="G56" s="82" t="n">
        <v>0</v>
      </c>
      <c r="H56" s="82" t="n">
        <v>0</v>
      </c>
      <c r="I56" s="82" t="n">
        <v>0</v>
      </c>
      <c r="J56" s="90" t="n">
        <v>0</v>
      </c>
    </row>
    <row r="57" customFormat="false" ht="15" hidden="false" customHeight="false" outlineLevel="0" collapsed="false">
      <c r="A57" s="25"/>
      <c r="B57" s="25" t="s">
        <v>114</v>
      </c>
      <c r="C57" s="82" t="n">
        <v>0</v>
      </c>
      <c r="D57" s="82" t="n">
        <v>0</v>
      </c>
      <c r="E57" s="82" t="n">
        <v>0</v>
      </c>
      <c r="F57" s="82" t="n">
        <v>0</v>
      </c>
      <c r="G57" s="82" t="n">
        <v>0</v>
      </c>
      <c r="H57" s="82" t="n">
        <v>0</v>
      </c>
      <c r="I57" s="82" t="n">
        <v>0</v>
      </c>
      <c r="J57" s="90" t="n">
        <v>0</v>
      </c>
    </row>
    <row r="58" customFormat="false" ht="15" hidden="false" customHeight="false" outlineLevel="0" collapsed="false">
      <c r="A58" s="25"/>
      <c r="B58" s="25" t="s">
        <v>115</v>
      </c>
      <c r="C58" s="82" t="n">
        <v>0</v>
      </c>
      <c r="D58" s="82" t="n">
        <v>1</v>
      </c>
      <c r="E58" s="82" t="n">
        <v>1</v>
      </c>
      <c r="F58" s="82" t="n">
        <v>0</v>
      </c>
      <c r="G58" s="82" t="n">
        <v>0</v>
      </c>
      <c r="H58" s="82" t="n">
        <v>12</v>
      </c>
      <c r="I58" s="82" t="n">
        <v>0</v>
      </c>
      <c r="J58" s="90" t="n">
        <v>14</v>
      </c>
    </row>
    <row r="59" customFormat="false" ht="15" hidden="false" customHeight="false" outlineLevel="0" collapsed="false">
      <c r="A59" s="25"/>
      <c r="B59" s="25" t="s">
        <v>116</v>
      </c>
      <c r="C59" s="82" t="n">
        <v>0</v>
      </c>
      <c r="D59" s="82" t="n">
        <v>0</v>
      </c>
      <c r="E59" s="82" t="n">
        <v>0</v>
      </c>
      <c r="F59" s="82" t="n">
        <v>0</v>
      </c>
      <c r="G59" s="82" t="n">
        <v>0</v>
      </c>
      <c r="H59" s="82" t="n">
        <v>0</v>
      </c>
      <c r="I59" s="82" t="n">
        <v>1</v>
      </c>
      <c r="J59" s="90" t="n">
        <v>1</v>
      </c>
    </row>
    <row r="60" customFormat="false" ht="15" hidden="false" customHeight="false" outlineLevel="0" collapsed="false">
      <c r="A60" s="27"/>
      <c r="B60" s="28" t="s">
        <v>22</v>
      </c>
      <c r="C60" s="27" t="n">
        <v>0</v>
      </c>
      <c r="D60" s="83" t="n">
        <v>6</v>
      </c>
      <c r="E60" s="83" t="n">
        <v>3</v>
      </c>
      <c r="F60" s="83" t="n">
        <v>5</v>
      </c>
      <c r="G60" s="83" t="n">
        <v>5</v>
      </c>
      <c r="H60" s="83" t="n">
        <v>61</v>
      </c>
      <c r="I60" s="83" t="n">
        <v>9</v>
      </c>
      <c r="J60" s="83" t="n">
        <v>89</v>
      </c>
    </row>
    <row r="61" customFormat="false" ht="15" hidden="false" customHeight="false" outlineLevel="0" collapsed="false">
      <c r="A61" s="49"/>
      <c r="B61" s="49" t="s">
        <v>74</v>
      </c>
      <c r="C61" s="74" t="n">
        <v>6</v>
      </c>
      <c r="D61" s="74" t="n">
        <v>18</v>
      </c>
      <c r="E61" s="74" t="n">
        <v>16</v>
      </c>
      <c r="F61" s="74" t="n">
        <v>36</v>
      </c>
      <c r="G61" s="74" t="n">
        <v>25</v>
      </c>
      <c r="H61" s="74" t="n">
        <v>187</v>
      </c>
      <c r="I61" s="74" t="n">
        <v>34</v>
      </c>
      <c r="J61" s="74" t="n">
        <v>322</v>
      </c>
    </row>
    <row r="62" customFormat="false" ht="15" hidden="false" customHeight="false" outlineLevel="0" collapsed="false">
      <c r="A62" s="51"/>
      <c r="B62" s="51" t="s">
        <v>117</v>
      </c>
      <c r="C62" s="75" t="n">
        <v>0.0186335403726708</v>
      </c>
      <c r="D62" s="75" t="n">
        <v>0.0559006211180124</v>
      </c>
      <c r="E62" s="75" t="n">
        <v>0.0496894409937888</v>
      </c>
      <c r="F62" s="75" t="n">
        <v>0.111801242236025</v>
      </c>
      <c r="G62" s="75" t="n">
        <v>0.077639751552795</v>
      </c>
      <c r="H62" s="75" t="n">
        <v>0.580745341614907</v>
      </c>
      <c r="I62" s="75" t="n">
        <v>0.105590062111801</v>
      </c>
      <c r="J62" s="75" t="n">
        <v>1</v>
      </c>
    </row>
    <row r="63" customFormat="false" ht="15" hidden="false" customHeight="false" outlineLevel="0" collapsed="false">
      <c r="A63" s="34" t="s">
        <v>118</v>
      </c>
    </row>
  </sheetData>
  <mergeCells count="5">
    <mergeCell ref="A1:J1"/>
    <mergeCell ref="C2:I2"/>
    <mergeCell ref="A3:A4"/>
    <mergeCell ref="B3:B4"/>
    <mergeCell ref="J3:J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2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E24" activeCellId="0" sqref="E24"/>
    </sheetView>
  </sheetViews>
  <sheetFormatPr defaultRowHeight="15" outlineLevelRow="0" outlineLevelCol="0"/>
  <cols>
    <col collapsed="false" customWidth="true" hidden="false" outlineLevel="0" max="2" min="1" style="0" width="24.71"/>
    <col collapsed="false" customWidth="true" hidden="false" outlineLevel="0" max="3" min="3" style="0" width="33"/>
    <col collapsed="false" customWidth="true" hidden="false" outlineLevel="0" max="4" min="4" style="0" width="10.85"/>
    <col collapsed="false" customWidth="true" hidden="false" outlineLevel="0" max="5" min="5" style="0" width="15.42"/>
    <col collapsed="false" customWidth="true" hidden="false" outlineLevel="0" max="6" min="6" style="0" width="12.29"/>
    <col collapsed="false" customWidth="true" hidden="false" outlineLevel="0" max="7" min="7" style="0" width="12.42"/>
    <col collapsed="false" customWidth="true" hidden="false" outlineLevel="0" max="8" min="8" style="0" width="12.86"/>
    <col collapsed="false" customWidth="true" hidden="false" outlineLevel="0" max="9" min="9" style="0" width="16"/>
    <col collapsed="false" customWidth="true" hidden="false" outlineLevel="0" max="10" min="10" style="0" width="9.71"/>
    <col collapsed="false" customWidth="true" hidden="false" outlineLevel="0" max="11" min="11" style="0" width="15.15"/>
    <col collapsed="false" customWidth="true" hidden="false" outlineLevel="0" max="12" min="12" style="0" width="14.15"/>
    <col collapsed="false" customWidth="true" hidden="false" outlineLevel="0" max="1025" min="13" style="0" width="8.67"/>
  </cols>
  <sheetData>
    <row r="1" customFormat="false" ht="15.75" hidden="false" customHeight="false" outlineLevel="0" collapsed="false">
      <c r="A1" s="91" t="s">
        <v>188</v>
      </c>
      <c r="B1" s="91"/>
    </row>
    <row r="2" customFormat="false" ht="15" hidden="false" customHeight="false" outlineLevel="0" collapsed="false">
      <c r="B2" s="0" t="s">
        <v>1</v>
      </c>
      <c r="C2" s="0" t="s">
        <v>189</v>
      </c>
      <c r="D2" s="0" t="s">
        <v>189</v>
      </c>
      <c r="E2" s="0" t="s">
        <v>189</v>
      </c>
      <c r="F2" s="0" t="s">
        <v>190</v>
      </c>
      <c r="G2" s="0" t="s">
        <v>190</v>
      </c>
      <c r="H2" s="0" t="s">
        <v>190</v>
      </c>
      <c r="I2" s="0" t="s">
        <v>191</v>
      </c>
      <c r="J2" s="0" t="s">
        <v>191</v>
      </c>
      <c r="K2" s="0" t="s">
        <v>191</v>
      </c>
      <c r="L2" s="0" t="s">
        <v>191</v>
      </c>
    </row>
    <row r="3" customFormat="false" ht="15" hidden="false" customHeight="true" outlineLevel="0" collapsed="false">
      <c r="A3" s="23" t="s">
        <v>2</v>
      </c>
      <c r="B3" s="23" t="s">
        <v>121</v>
      </c>
      <c r="C3" s="92" t="s">
        <v>192</v>
      </c>
      <c r="D3" s="92"/>
      <c r="E3" s="92"/>
      <c r="F3" s="92" t="s">
        <v>193</v>
      </c>
      <c r="G3" s="92"/>
      <c r="H3" s="92"/>
      <c r="I3" s="93" t="s">
        <v>194</v>
      </c>
      <c r="J3" s="93"/>
      <c r="K3" s="93"/>
      <c r="L3" s="93"/>
      <c r="M3" s="94" t="s">
        <v>134</v>
      </c>
      <c r="N3" s="94" t="s">
        <v>117</v>
      </c>
    </row>
    <row r="4" customFormat="false" ht="15" hidden="false" customHeight="false" outlineLevel="0" collapsed="false">
      <c r="A4" s="23"/>
      <c r="B4" s="23"/>
      <c r="C4" s="95" t="s">
        <v>195</v>
      </c>
      <c r="D4" s="95" t="s">
        <v>196</v>
      </c>
      <c r="E4" s="95" t="s">
        <v>197</v>
      </c>
      <c r="F4" s="95" t="s">
        <v>198</v>
      </c>
      <c r="G4" s="95" t="s">
        <v>199</v>
      </c>
      <c r="H4" s="95" t="s">
        <v>200</v>
      </c>
      <c r="I4" s="95" t="s">
        <v>201</v>
      </c>
      <c r="J4" s="95" t="s">
        <v>202</v>
      </c>
      <c r="K4" s="95" t="s">
        <v>203</v>
      </c>
      <c r="L4" s="95" t="s">
        <v>204</v>
      </c>
    </row>
    <row r="5" customFormat="false" ht="15" hidden="false" customHeight="false" outlineLevel="0" collapsed="false">
      <c r="A5" s="24" t="s">
        <v>81</v>
      </c>
      <c r="B5" s="90" t="s">
        <v>18</v>
      </c>
      <c r="C5" s="96"/>
      <c r="D5" s="97"/>
      <c r="E5" s="98"/>
    </row>
    <row r="6" customFormat="false" ht="15" hidden="false" customHeight="false" outlineLevel="0" collapsed="false">
      <c r="A6" s="26"/>
      <c r="B6" s="90" t="s">
        <v>19</v>
      </c>
      <c r="C6" s="96"/>
      <c r="D6" s="97"/>
      <c r="E6" s="98"/>
    </row>
    <row r="7" customFormat="false" ht="15" hidden="false" customHeight="false" outlineLevel="0" collapsed="false">
      <c r="A7" s="26"/>
      <c r="B7" s="90" t="s">
        <v>20</v>
      </c>
      <c r="C7" s="96"/>
      <c r="D7" s="97"/>
      <c r="E7" s="98"/>
    </row>
    <row r="8" customFormat="false" ht="15" hidden="false" customHeight="false" outlineLevel="0" collapsed="false">
      <c r="A8" s="26"/>
      <c r="B8" s="90" t="s">
        <v>21</v>
      </c>
      <c r="C8" s="99"/>
      <c r="D8" s="100"/>
      <c r="E8" s="98"/>
    </row>
    <row r="9" customFormat="false" ht="15" hidden="false" customHeight="false" outlineLevel="0" collapsed="false">
      <c r="A9" s="27"/>
      <c r="B9" s="83" t="s">
        <v>22</v>
      </c>
      <c r="C9" s="96"/>
      <c r="D9" s="101"/>
      <c r="E9" s="98"/>
    </row>
    <row r="10" customFormat="false" ht="15" hidden="false" customHeight="false" outlineLevel="0" collapsed="false">
      <c r="A10" s="24" t="s">
        <v>82</v>
      </c>
      <c r="B10" s="82" t="s">
        <v>24</v>
      </c>
      <c r="C10" s="96"/>
      <c r="D10" s="102"/>
      <c r="E10" s="98"/>
    </row>
    <row r="11" customFormat="false" ht="15" hidden="false" customHeight="false" outlineLevel="0" collapsed="false">
      <c r="A11" s="29"/>
      <c r="B11" s="82" t="s">
        <v>25</v>
      </c>
      <c r="C11" s="96"/>
      <c r="D11" s="102"/>
      <c r="E11" s="98"/>
    </row>
    <row r="12" customFormat="false" ht="15" hidden="false" customHeight="false" outlineLevel="0" collapsed="false">
      <c r="A12" s="29"/>
      <c r="B12" s="82" t="s">
        <v>26</v>
      </c>
      <c r="C12" s="96"/>
      <c r="D12" s="102"/>
      <c r="E12" s="98"/>
    </row>
    <row r="13" customFormat="false" ht="15" hidden="false" customHeight="false" outlineLevel="0" collapsed="false">
      <c r="A13" s="29"/>
      <c r="B13" s="82" t="s">
        <v>27</v>
      </c>
      <c r="C13" s="99"/>
      <c r="D13" s="103"/>
      <c r="E13" s="98"/>
    </row>
    <row r="14" customFormat="false" ht="15" hidden="false" customHeight="false" outlineLevel="0" collapsed="false">
      <c r="A14" s="27"/>
      <c r="B14" s="83" t="s">
        <v>22</v>
      </c>
      <c r="C14" s="96"/>
      <c r="D14" s="101"/>
      <c r="E14" s="98"/>
    </row>
    <row r="15" customFormat="false" ht="15" hidden="false" customHeight="false" outlineLevel="0" collapsed="false">
      <c r="A15" s="24" t="s">
        <v>83</v>
      </c>
      <c r="B15" s="25" t="s">
        <v>29</v>
      </c>
      <c r="C15" s="96"/>
      <c r="D15" s="102"/>
      <c r="E15" s="98"/>
    </row>
    <row r="16" customFormat="false" ht="15" hidden="false" customHeight="false" outlineLevel="0" collapsed="false">
      <c r="A16" s="27"/>
      <c r="B16" s="83" t="s">
        <v>22</v>
      </c>
      <c r="C16" s="96"/>
      <c r="D16" s="102"/>
      <c r="E16" s="98"/>
    </row>
    <row r="17" customFormat="false" ht="15" hidden="false" customHeight="false" outlineLevel="0" collapsed="false">
      <c r="A17" s="24" t="s">
        <v>84</v>
      </c>
      <c r="B17" s="25" t="s">
        <v>31</v>
      </c>
      <c r="C17" s="96"/>
      <c r="D17" s="102"/>
      <c r="E17" s="98"/>
    </row>
    <row r="18" customFormat="false" ht="15" hidden="false" customHeight="false" outlineLevel="0" collapsed="false">
      <c r="A18" s="25"/>
      <c r="B18" s="25" t="s">
        <v>32</v>
      </c>
      <c r="C18" s="99"/>
      <c r="D18" s="103"/>
      <c r="E18" s="98"/>
    </row>
    <row r="19" customFormat="false" ht="15" hidden="false" customHeight="false" outlineLevel="0" collapsed="false">
      <c r="A19" s="25"/>
      <c r="B19" s="25" t="s">
        <v>33</v>
      </c>
      <c r="C19" s="96"/>
      <c r="D19" s="101"/>
      <c r="E19" s="98"/>
    </row>
    <row r="20" customFormat="false" ht="15" hidden="false" customHeight="false" outlineLevel="0" collapsed="false">
      <c r="A20" s="27"/>
      <c r="B20" s="83" t="s">
        <v>22</v>
      </c>
      <c r="C20" s="96"/>
      <c r="D20" s="102"/>
      <c r="E20" s="98"/>
    </row>
    <row r="21" customFormat="false" ht="15" hidden="false" customHeight="false" outlineLevel="0" collapsed="false">
      <c r="A21" s="24" t="s">
        <v>85</v>
      </c>
      <c r="B21" s="25" t="s">
        <v>35</v>
      </c>
      <c r="C21" s="96"/>
      <c r="D21" s="102"/>
      <c r="E21" s="98"/>
    </row>
    <row r="22" customFormat="false" ht="15" hidden="false" customHeight="false" outlineLevel="0" collapsed="false">
      <c r="A22" s="25"/>
      <c r="B22" s="25" t="s">
        <v>36</v>
      </c>
      <c r="C22" s="96"/>
      <c r="D22" s="102"/>
      <c r="E22" s="98"/>
    </row>
    <row r="23" customFormat="false" ht="15" hidden="false" customHeight="false" outlineLevel="0" collapsed="false">
      <c r="A23" s="25"/>
      <c r="B23" s="25" t="s">
        <v>37</v>
      </c>
      <c r="C23" s="96"/>
      <c r="D23" s="102"/>
      <c r="E23" s="98"/>
    </row>
    <row r="24" customFormat="false" ht="15" hidden="false" customHeight="false" outlineLevel="0" collapsed="false">
      <c r="A24" s="27"/>
      <c r="B24" s="83" t="s">
        <v>22</v>
      </c>
      <c r="C24" s="99"/>
      <c r="D24" s="103"/>
      <c r="E24" s="98"/>
    </row>
    <row r="25" customFormat="false" ht="15" hidden="false" customHeight="false" outlineLevel="0" collapsed="false">
      <c r="A25" s="24" t="s">
        <v>86</v>
      </c>
      <c r="B25" s="25" t="s">
        <v>39</v>
      </c>
      <c r="C25" s="98"/>
      <c r="D25" s="98"/>
      <c r="E25" s="98"/>
    </row>
    <row r="26" customFormat="false" ht="15" hidden="false" customHeight="false" outlineLevel="0" collapsed="false">
      <c r="A26" s="25"/>
      <c r="B26" s="25" t="s">
        <v>40</v>
      </c>
      <c r="C26" s="98"/>
      <c r="D26" s="98"/>
      <c r="E26" s="98"/>
    </row>
    <row r="27" customFormat="false" ht="15" hidden="false" customHeight="false" outlineLevel="0" collapsed="false">
      <c r="A27" s="25"/>
      <c r="B27" s="25" t="s">
        <v>41</v>
      </c>
      <c r="C27" s="98"/>
      <c r="D27" s="98"/>
      <c r="E27" s="98"/>
    </row>
    <row r="28" customFormat="false" ht="15" hidden="false" customHeight="false" outlineLevel="0" collapsed="false">
      <c r="A28" s="25"/>
      <c r="B28" s="25" t="s">
        <v>42</v>
      </c>
      <c r="C28" s="98"/>
      <c r="D28" s="98"/>
      <c r="E28" s="98"/>
    </row>
    <row r="29" customFormat="false" ht="15" hidden="false" customHeight="false" outlineLevel="0" collapsed="false">
      <c r="A29" s="27"/>
      <c r="B29" s="83" t="s">
        <v>22</v>
      </c>
      <c r="C29" s="98"/>
      <c r="D29" s="98"/>
      <c r="E29" s="98"/>
    </row>
    <row r="30" customFormat="false" ht="15" hidden="false" customHeight="false" outlineLevel="0" collapsed="false">
      <c r="A30" s="24" t="s">
        <v>87</v>
      </c>
      <c r="B30" s="25" t="s">
        <v>44</v>
      </c>
      <c r="C30" s="98"/>
      <c r="D30" s="98"/>
      <c r="E30" s="98"/>
    </row>
    <row r="31" customFormat="false" ht="15" hidden="false" customHeight="false" outlineLevel="0" collapsed="false">
      <c r="A31" s="25"/>
      <c r="B31" s="25" t="s">
        <v>45</v>
      </c>
      <c r="C31" s="98"/>
      <c r="D31" s="98"/>
      <c r="E31" s="98"/>
    </row>
    <row r="32" customFormat="false" ht="15" hidden="false" customHeight="false" outlineLevel="0" collapsed="false">
      <c r="A32" s="25"/>
      <c r="B32" s="25" t="s">
        <v>46</v>
      </c>
      <c r="C32" s="98"/>
      <c r="D32" s="98"/>
      <c r="E32" s="98"/>
    </row>
    <row r="33" customFormat="false" ht="15" hidden="false" customHeight="false" outlineLevel="0" collapsed="false">
      <c r="A33" s="27"/>
      <c r="B33" s="83" t="s">
        <v>22</v>
      </c>
      <c r="C33" s="98"/>
      <c r="D33" s="98"/>
      <c r="E33" s="98"/>
    </row>
    <row r="34" customFormat="false" ht="15" hidden="false" customHeight="false" outlineLevel="0" collapsed="false">
      <c r="A34" s="24" t="s">
        <v>90</v>
      </c>
      <c r="B34" s="25" t="s">
        <v>91</v>
      </c>
      <c r="C34" s="98"/>
      <c r="D34" s="98"/>
      <c r="E34" s="98"/>
    </row>
    <row r="35" customFormat="false" ht="15" hidden="false" customHeight="false" outlineLevel="0" collapsed="false">
      <c r="A35" s="25"/>
      <c r="B35" s="25" t="s">
        <v>92</v>
      </c>
    </row>
    <row r="36" customFormat="false" ht="15" hidden="false" customHeight="false" outlineLevel="0" collapsed="false">
      <c r="A36" s="25"/>
      <c r="B36" s="25" t="s">
        <v>93</v>
      </c>
    </row>
    <row r="37" customFormat="false" ht="15" hidden="false" customHeight="false" outlineLevel="0" collapsed="false">
      <c r="A37" s="25"/>
      <c r="B37" s="25" t="s">
        <v>94</v>
      </c>
    </row>
    <row r="38" customFormat="false" ht="15" hidden="false" customHeight="false" outlineLevel="0" collapsed="false">
      <c r="A38" s="25"/>
      <c r="B38" s="25" t="s">
        <v>95</v>
      </c>
    </row>
    <row r="39" customFormat="false" ht="15" hidden="false" customHeight="false" outlineLevel="0" collapsed="false">
      <c r="A39" s="25"/>
      <c r="B39" s="25" t="s">
        <v>96</v>
      </c>
    </row>
    <row r="40" customFormat="false" ht="15" hidden="false" customHeight="false" outlineLevel="0" collapsed="false">
      <c r="A40" s="25"/>
      <c r="B40" s="25" t="s">
        <v>97</v>
      </c>
    </row>
    <row r="41" customFormat="false" ht="15" hidden="false" customHeight="false" outlineLevel="0" collapsed="false">
      <c r="A41" s="25"/>
      <c r="B41" s="25" t="s">
        <v>98</v>
      </c>
    </row>
    <row r="42" customFormat="false" ht="15" hidden="false" customHeight="false" outlineLevel="0" collapsed="false">
      <c r="A42" s="25"/>
      <c r="B42" s="25" t="s">
        <v>99</v>
      </c>
    </row>
    <row r="43" customFormat="false" ht="15" hidden="false" customHeight="false" outlineLevel="0" collapsed="false">
      <c r="A43" s="27"/>
      <c r="B43" s="83" t="s">
        <v>22</v>
      </c>
    </row>
    <row r="44" customFormat="false" ht="15" hidden="false" customHeight="false" outlineLevel="0" collapsed="false">
      <c r="A44" s="24" t="s">
        <v>100</v>
      </c>
      <c r="B44" s="25" t="s">
        <v>101</v>
      </c>
    </row>
    <row r="45" customFormat="false" ht="15" hidden="false" customHeight="false" outlineLevel="0" collapsed="false">
      <c r="A45" s="25"/>
      <c r="B45" s="25" t="s">
        <v>102</v>
      </c>
    </row>
    <row r="46" customFormat="false" ht="15" hidden="false" customHeight="false" outlineLevel="0" collapsed="false">
      <c r="A46" s="25"/>
      <c r="B46" s="25" t="s">
        <v>103</v>
      </c>
    </row>
    <row r="47" customFormat="false" ht="15" hidden="false" customHeight="false" outlineLevel="0" collapsed="false">
      <c r="A47" s="25"/>
      <c r="B47" s="25" t="s">
        <v>104</v>
      </c>
    </row>
    <row r="48" customFormat="false" ht="15" hidden="false" customHeight="false" outlineLevel="0" collapsed="false">
      <c r="A48" s="25"/>
      <c r="B48" s="25" t="s">
        <v>105</v>
      </c>
    </row>
    <row r="49" customFormat="false" ht="15" hidden="false" customHeight="false" outlineLevel="0" collapsed="false">
      <c r="A49" s="25"/>
      <c r="B49" s="25" t="s">
        <v>106</v>
      </c>
    </row>
    <row r="50" customFormat="false" ht="15" hidden="false" customHeight="false" outlineLevel="0" collapsed="false">
      <c r="A50" s="25"/>
      <c r="B50" s="25" t="s">
        <v>107</v>
      </c>
    </row>
    <row r="51" customFormat="false" ht="15" hidden="false" customHeight="false" outlineLevel="0" collapsed="false">
      <c r="A51" s="25"/>
      <c r="B51" s="25" t="s">
        <v>108</v>
      </c>
    </row>
    <row r="52" customFormat="false" ht="15" hidden="false" customHeight="false" outlineLevel="0" collapsed="false">
      <c r="A52" s="25"/>
      <c r="B52" s="25" t="s">
        <v>109</v>
      </c>
    </row>
    <row r="53" customFormat="false" ht="15" hidden="false" customHeight="false" outlineLevel="0" collapsed="false">
      <c r="A53" s="25"/>
      <c r="B53" s="25" t="s">
        <v>110</v>
      </c>
    </row>
    <row r="54" customFormat="false" ht="15" hidden="false" customHeight="false" outlineLevel="0" collapsed="false">
      <c r="A54" s="25"/>
      <c r="B54" s="25" t="s">
        <v>111</v>
      </c>
    </row>
    <row r="55" customFormat="false" ht="15" hidden="false" customHeight="false" outlineLevel="0" collapsed="false">
      <c r="A55" s="25"/>
      <c r="B55" s="25" t="s">
        <v>112</v>
      </c>
    </row>
    <row r="56" customFormat="false" ht="15" hidden="false" customHeight="false" outlineLevel="0" collapsed="false">
      <c r="A56" s="25"/>
      <c r="B56" s="25" t="s">
        <v>113</v>
      </c>
    </row>
    <row r="57" customFormat="false" ht="15" hidden="false" customHeight="false" outlineLevel="0" collapsed="false">
      <c r="A57" s="25"/>
      <c r="B57" s="25" t="s">
        <v>114</v>
      </c>
    </row>
    <row r="58" customFormat="false" ht="15" hidden="false" customHeight="false" outlineLevel="0" collapsed="false">
      <c r="A58" s="25"/>
      <c r="B58" s="25" t="s">
        <v>115</v>
      </c>
    </row>
    <row r="59" customFormat="false" ht="15" hidden="false" customHeight="false" outlineLevel="0" collapsed="false">
      <c r="A59" s="25"/>
      <c r="B59" s="25" t="s">
        <v>116</v>
      </c>
    </row>
    <row r="60" customFormat="false" ht="15" hidden="false" customHeight="false" outlineLevel="0" collapsed="false">
      <c r="A60" s="104"/>
      <c r="B60" s="83" t="s">
        <v>22</v>
      </c>
    </row>
    <row r="61" customFormat="false" ht="15" hidden="false" customHeight="false" outlineLevel="0" collapsed="false">
      <c r="A61" s="25"/>
      <c r="B61" s="26" t="s">
        <v>74</v>
      </c>
    </row>
    <row r="62" customFormat="false" ht="15" hidden="false" customHeight="false" outlineLevel="0" collapsed="false">
      <c r="A62" s="25"/>
      <c r="B62" s="25" t="s">
        <v>117</v>
      </c>
    </row>
  </sheetData>
  <mergeCells count="5">
    <mergeCell ref="A3:A4"/>
    <mergeCell ref="B3:B4"/>
    <mergeCell ref="C3:E3"/>
    <mergeCell ref="F3:H3"/>
    <mergeCell ref="I3:L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RowHeight="15" outlineLevelRow="0" outlineLevelCol="0"/>
  <cols>
    <col collapsed="false" customWidth="true" hidden="false" outlineLevel="0" max="1" min="1" style="0" width="18.14"/>
    <col collapsed="false" customWidth="true" hidden="false" outlineLevel="0" max="2" min="2" style="0" width="20.29"/>
    <col collapsed="false" customWidth="true" hidden="false" outlineLevel="0" max="1025" min="3" style="0" width="8.67"/>
  </cols>
  <sheetData>
    <row r="1" customFormat="false" ht="15" hidden="false" customHeight="false" outlineLevel="0" collapsed="false">
      <c r="A1" s="36" t="s">
        <v>205</v>
      </c>
      <c r="B1" s="36"/>
      <c r="C1" s="36"/>
      <c r="D1" s="36"/>
      <c r="E1" s="36"/>
      <c r="F1" s="36"/>
      <c r="G1" s="36"/>
      <c r="H1" s="36"/>
      <c r="I1" s="36"/>
    </row>
    <row r="2" customFormat="false" ht="15.75" hidden="false" customHeight="false" outlineLevel="0" collapsed="false">
      <c r="A2" s="20"/>
      <c r="B2" s="20" t="s">
        <v>1</v>
      </c>
      <c r="C2" s="20" t="s">
        <v>206</v>
      </c>
      <c r="D2" s="20" t="s">
        <v>207</v>
      </c>
      <c r="E2" s="20" t="s">
        <v>208</v>
      </c>
      <c r="F2" s="20" t="s">
        <v>209</v>
      </c>
      <c r="G2" s="20" t="s">
        <v>210</v>
      </c>
      <c r="H2" s="20" t="s">
        <v>211</v>
      </c>
      <c r="I2" s="20" t="s">
        <v>212</v>
      </c>
    </row>
    <row r="3" customFormat="false" ht="15" hidden="false" customHeight="true" outlineLevel="0" collapsed="false">
      <c r="A3" s="23" t="s">
        <v>2</v>
      </c>
      <c r="B3" s="23" t="s">
        <v>121</v>
      </c>
      <c r="C3" s="105" t="s">
        <v>213</v>
      </c>
      <c r="D3" s="105"/>
      <c r="E3" s="105"/>
      <c r="F3" s="106" t="s">
        <v>214</v>
      </c>
      <c r="G3" s="106"/>
      <c r="H3" s="107" t="s">
        <v>215</v>
      </c>
      <c r="I3" s="23" t="s">
        <v>80</v>
      </c>
    </row>
    <row r="4" customFormat="false" ht="25.5" hidden="false" customHeight="false" outlineLevel="0" collapsed="false">
      <c r="A4" s="23"/>
      <c r="B4" s="23"/>
      <c r="C4" s="107" t="s">
        <v>216</v>
      </c>
      <c r="D4" s="23" t="s">
        <v>217</v>
      </c>
      <c r="E4" s="108" t="s">
        <v>218</v>
      </c>
      <c r="F4" s="109" t="s">
        <v>219</v>
      </c>
      <c r="G4" s="110" t="s">
        <v>220</v>
      </c>
      <c r="H4" s="107"/>
      <c r="I4" s="23"/>
    </row>
    <row r="5" customFormat="false" ht="15" hidden="false" customHeight="false" outlineLevel="0" collapsed="false">
      <c r="A5" s="24" t="s">
        <v>81</v>
      </c>
      <c r="B5" s="90" t="s">
        <v>18</v>
      </c>
      <c r="C5" s="111" t="n">
        <v>0</v>
      </c>
      <c r="D5" s="25" t="n">
        <v>0</v>
      </c>
      <c r="E5" s="112" t="n">
        <v>0</v>
      </c>
      <c r="F5" s="113" t="n">
        <v>0</v>
      </c>
      <c r="G5" s="114" t="n">
        <v>0</v>
      </c>
      <c r="H5" s="111" t="n">
        <v>0</v>
      </c>
      <c r="I5" s="25" t="n">
        <v>0</v>
      </c>
    </row>
    <row r="6" customFormat="false" ht="15" hidden="false" customHeight="false" outlineLevel="0" collapsed="false">
      <c r="A6" s="26"/>
      <c r="B6" s="90" t="s">
        <v>19</v>
      </c>
      <c r="C6" s="111" t="n">
        <v>1</v>
      </c>
      <c r="D6" s="25" t="n">
        <v>1</v>
      </c>
      <c r="E6" s="112" t="n">
        <v>0</v>
      </c>
      <c r="F6" s="113" t="n">
        <v>0</v>
      </c>
      <c r="G6" s="114" t="n">
        <v>0</v>
      </c>
      <c r="H6" s="111" t="n">
        <v>5</v>
      </c>
      <c r="I6" s="25" t="n">
        <v>7</v>
      </c>
    </row>
    <row r="7" customFormat="false" ht="15" hidden="false" customHeight="false" outlineLevel="0" collapsed="false">
      <c r="A7" s="26"/>
      <c r="B7" s="90" t="s">
        <v>20</v>
      </c>
      <c r="C7" s="111" t="n">
        <v>0</v>
      </c>
      <c r="D7" s="25" t="n">
        <v>0</v>
      </c>
      <c r="E7" s="112" t="n">
        <v>0</v>
      </c>
      <c r="F7" s="113" t="n">
        <v>0</v>
      </c>
      <c r="G7" s="114" t="n">
        <v>0</v>
      </c>
      <c r="H7" s="111" t="n">
        <v>0</v>
      </c>
      <c r="I7" s="25" t="n">
        <v>0</v>
      </c>
    </row>
    <row r="8" customFormat="false" ht="15" hidden="false" customHeight="false" outlineLevel="0" collapsed="false">
      <c r="A8" s="26"/>
      <c r="B8" s="90" t="s">
        <v>21</v>
      </c>
      <c r="C8" s="111" t="n">
        <v>5</v>
      </c>
      <c r="D8" s="25" t="n">
        <v>5</v>
      </c>
      <c r="E8" s="112" t="n">
        <v>1</v>
      </c>
      <c r="F8" s="113" t="n">
        <v>1</v>
      </c>
      <c r="G8" s="114" t="n">
        <v>2</v>
      </c>
      <c r="H8" s="111" t="n">
        <v>3</v>
      </c>
      <c r="I8" s="25" t="n">
        <v>17</v>
      </c>
    </row>
    <row r="9" customFormat="false" ht="15" hidden="false" customHeight="false" outlineLevel="0" collapsed="false">
      <c r="A9" s="27"/>
      <c r="B9" s="83" t="s">
        <v>22</v>
      </c>
      <c r="C9" s="27" t="n">
        <v>6</v>
      </c>
      <c r="D9" s="27" t="n">
        <v>6</v>
      </c>
      <c r="E9" s="115" t="n">
        <v>1</v>
      </c>
      <c r="F9" s="116" t="n">
        <v>1</v>
      </c>
      <c r="G9" s="117" t="n">
        <v>2</v>
      </c>
      <c r="H9" s="118" t="n">
        <v>8</v>
      </c>
      <c r="I9" s="27" t="n">
        <v>24</v>
      </c>
    </row>
    <row r="10" customFormat="false" ht="15" hidden="false" customHeight="false" outlineLevel="0" collapsed="false">
      <c r="A10" s="24" t="s">
        <v>82</v>
      </c>
      <c r="B10" s="82" t="s">
        <v>24</v>
      </c>
      <c r="C10" s="25" t="n">
        <v>0</v>
      </c>
      <c r="D10" s="25" t="n">
        <v>0</v>
      </c>
      <c r="E10" s="112" t="n">
        <v>0</v>
      </c>
      <c r="F10" s="113" t="n">
        <v>0</v>
      </c>
      <c r="G10" s="114" t="n">
        <v>0</v>
      </c>
      <c r="H10" s="111" t="n">
        <v>1</v>
      </c>
      <c r="I10" s="25" t="n">
        <v>1</v>
      </c>
    </row>
    <row r="11" customFormat="false" ht="15" hidden="false" customHeight="false" outlineLevel="0" collapsed="false">
      <c r="A11" s="29"/>
      <c r="B11" s="82" t="s">
        <v>25</v>
      </c>
      <c r="C11" s="25" t="n">
        <v>2</v>
      </c>
      <c r="D11" s="25" t="n">
        <v>0</v>
      </c>
      <c r="E11" s="112" t="n">
        <v>1</v>
      </c>
      <c r="F11" s="113" t="n">
        <v>0</v>
      </c>
      <c r="G11" s="114" t="n">
        <v>2</v>
      </c>
      <c r="H11" s="111" t="n">
        <v>0</v>
      </c>
      <c r="I11" s="25" t="n">
        <v>5</v>
      </c>
    </row>
    <row r="12" customFormat="false" ht="15" hidden="false" customHeight="false" outlineLevel="0" collapsed="false">
      <c r="A12" s="29"/>
      <c r="B12" s="82" t="s">
        <v>26</v>
      </c>
      <c r="C12" s="25" t="n">
        <v>0</v>
      </c>
      <c r="D12" s="25" t="n">
        <v>0</v>
      </c>
      <c r="E12" s="112" t="n">
        <v>0</v>
      </c>
      <c r="F12" s="113" t="n">
        <v>0</v>
      </c>
      <c r="G12" s="114" t="n">
        <v>1</v>
      </c>
      <c r="H12" s="111" t="n">
        <v>1</v>
      </c>
      <c r="I12" s="25" t="n">
        <v>2</v>
      </c>
    </row>
    <row r="13" customFormat="false" ht="15" hidden="false" customHeight="false" outlineLevel="0" collapsed="false">
      <c r="A13" s="29"/>
      <c r="B13" s="82" t="s">
        <v>27</v>
      </c>
      <c r="C13" s="25" t="n">
        <v>2</v>
      </c>
      <c r="D13" s="25" t="n">
        <v>0</v>
      </c>
      <c r="E13" s="112" t="n">
        <v>0</v>
      </c>
      <c r="F13" s="113" t="n">
        <v>0</v>
      </c>
      <c r="G13" s="114" t="n">
        <v>1</v>
      </c>
      <c r="H13" s="111" t="n">
        <v>3</v>
      </c>
      <c r="I13" s="25" t="n">
        <v>6</v>
      </c>
    </row>
    <row r="14" customFormat="false" ht="15" hidden="false" customHeight="false" outlineLevel="0" collapsed="false">
      <c r="A14" s="27"/>
      <c r="B14" s="83" t="s">
        <v>22</v>
      </c>
      <c r="C14" s="27" t="n">
        <v>4</v>
      </c>
      <c r="D14" s="27" t="n">
        <v>0</v>
      </c>
      <c r="E14" s="115" t="n">
        <v>1</v>
      </c>
      <c r="F14" s="116" t="n">
        <v>0</v>
      </c>
      <c r="G14" s="117" t="n">
        <v>4</v>
      </c>
      <c r="H14" s="118" t="n">
        <v>5</v>
      </c>
      <c r="I14" s="27" t="n">
        <v>14</v>
      </c>
    </row>
    <row r="15" customFormat="false" ht="15" hidden="false" customHeight="false" outlineLevel="0" collapsed="false">
      <c r="A15" s="24" t="s">
        <v>83</v>
      </c>
      <c r="B15" s="25" t="s">
        <v>29</v>
      </c>
      <c r="C15" s="25" t="n">
        <v>0</v>
      </c>
      <c r="D15" s="25" t="n">
        <v>0</v>
      </c>
      <c r="E15" s="112" t="n">
        <v>0</v>
      </c>
      <c r="F15" s="113" t="n">
        <v>0</v>
      </c>
      <c r="G15" s="114" t="n">
        <v>0</v>
      </c>
      <c r="H15" s="111" t="n">
        <v>0</v>
      </c>
      <c r="I15" s="25" t="n">
        <v>0</v>
      </c>
    </row>
    <row r="16" customFormat="false" ht="15" hidden="false" customHeight="false" outlineLevel="0" collapsed="false">
      <c r="A16" s="27"/>
      <c r="B16" s="83" t="s">
        <v>22</v>
      </c>
      <c r="C16" s="27" t="n">
        <v>0</v>
      </c>
      <c r="D16" s="27" t="n">
        <v>0</v>
      </c>
      <c r="E16" s="115" t="n">
        <v>0</v>
      </c>
      <c r="F16" s="116" t="n">
        <v>0</v>
      </c>
      <c r="G16" s="117" t="n">
        <v>0</v>
      </c>
      <c r="H16" s="118" t="n">
        <v>0</v>
      </c>
      <c r="I16" s="27" t="n">
        <v>0</v>
      </c>
    </row>
    <row r="17" customFormat="false" ht="15" hidden="false" customHeight="false" outlineLevel="0" collapsed="false">
      <c r="A17" s="24" t="s">
        <v>84</v>
      </c>
      <c r="B17" s="25" t="s">
        <v>31</v>
      </c>
      <c r="C17" s="25" t="n">
        <v>0</v>
      </c>
      <c r="D17" s="25" t="n">
        <v>0</v>
      </c>
      <c r="E17" s="112" t="n">
        <v>0</v>
      </c>
      <c r="F17" s="113" t="n">
        <v>0</v>
      </c>
      <c r="G17" s="114" t="n">
        <v>0</v>
      </c>
      <c r="H17" s="111" t="n">
        <v>0</v>
      </c>
      <c r="I17" s="25" t="n">
        <v>0</v>
      </c>
    </row>
    <row r="18" customFormat="false" ht="15" hidden="false" customHeight="false" outlineLevel="0" collapsed="false">
      <c r="A18" s="25"/>
      <c r="B18" s="25" t="s">
        <v>32</v>
      </c>
      <c r="C18" s="25" t="n">
        <v>0</v>
      </c>
      <c r="D18" s="25" t="n">
        <v>0</v>
      </c>
      <c r="E18" s="112" t="n">
        <v>0</v>
      </c>
      <c r="F18" s="113" t="n">
        <v>2</v>
      </c>
      <c r="G18" s="114" t="n">
        <v>1</v>
      </c>
      <c r="H18" s="111" t="n">
        <v>0</v>
      </c>
      <c r="I18" s="25" t="n">
        <v>3</v>
      </c>
    </row>
    <row r="19" customFormat="false" ht="15" hidden="false" customHeight="false" outlineLevel="0" collapsed="false">
      <c r="A19" s="25"/>
      <c r="B19" s="25" t="s">
        <v>33</v>
      </c>
      <c r="C19" s="25" t="n">
        <v>0</v>
      </c>
      <c r="D19" s="25" t="n">
        <v>0</v>
      </c>
      <c r="E19" s="112" t="n">
        <v>0</v>
      </c>
      <c r="F19" s="113" t="n">
        <v>0</v>
      </c>
      <c r="G19" s="114" t="n">
        <v>0</v>
      </c>
      <c r="H19" s="111" t="n">
        <v>0</v>
      </c>
      <c r="I19" s="25" t="n">
        <v>0</v>
      </c>
    </row>
    <row r="20" customFormat="false" ht="15" hidden="false" customHeight="false" outlineLevel="0" collapsed="false">
      <c r="A20" s="27"/>
      <c r="B20" s="83" t="s">
        <v>22</v>
      </c>
      <c r="C20" s="27" t="n">
        <v>0</v>
      </c>
      <c r="D20" s="27" t="n">
        <v>0</v>
      </c>
      <c r="E20" s="115" t="n">
        <v>0</v>
      </c>
      <c r="F20" s="116" t="n">
        <v>2</v>
      </c>
      <c r="G20" s="117" t="n">
        <v>1</v>
      </c>
      <c r="H20" s="118" t="n">
        <v>0</v>
      </c>
      <c r="I20" s="27" t="n">
        <v>3</v>
      </c>
    </row>
    <row r="21" customFormat="false" ht="15" hidden="false" customHeight="false" outlineLevel="0" collapsed="false">
      <c r="A21" s="24" t="s">
        <v>85</v>
      </c>
      <c r="B21" s="25" t="s">
        <v>35</v>
      </c>
      <c r="C21" s="25" t="n">
        <v>1</v>
      </c>
      <c r="D21" s="25" t="n">
        <v>2</v>
      </c>
      <c r="E21" s="112" t="n">
        <v>0</v>
      </c>
      <c r="F21" s="113" t="n">
        <v>0</v>
      </c>
      <c r="G21" s="114" t="n">
        <v>2</v>
      </c>
      <c r="H21" s="111" t="n">
        <v>0</v>
      </c>
      <c r="I21" s="25" t="n">
        <v>5</v>
      </c>
    </row>
    <row r="22" customFormat="false" ht="15" hidden="false" customHeight="false" outlineLevel="0" collapsed="false">
      <c r="A22" s="25"/>
      <c r="B22" s="25" t="s">
        <v>36</v>
      </c>
      <c r="C22" s="25" t="n">
        <v>4</v>
      </c>
      <c r="D22" s="25" t="n">
        <v>2</v>
      </c>
      <c r="E22" s="112" t="n">
        <v>0</v>
      </c>
      <c r="F22" s="113" t="n">
        <v>0</v>
      </c>
      <c r="G22" s="114" t="n">
        <v>0</v>
      </c>
      <c r="H22" s="111" t="n">
        <v>4</v>
      </c>
      <c r="I22" s="25" t="n">
        <v>10</v>
      </c>
    </row>
    <row r="23" customFormat="false" ht="15" hidden="false" customHeight="false" outlineLevel="0" collapsed="false">
      <c r="A23" s="25"/>
      <c r="B23" s="25" t="s">
        <v>37</v>
      </c>
      <c r="C23" s="25" t="n">
        <v>0</v>
      </c>
      <c r="D23" s="25" t="n">
        <v>0</v>
      </c>
      <c r="E23" s="112" t="n">
        <v>0</v>
      </c>
      <c r="F23" s="113" t="n">
        <v>0</v>
      </c>
      <c r="G23" s="114" t="n">
        <v>1</v>
      </c>
      <c r="H23" s="111" t="n">
        <v>0</v>
      </c>
      <c r="I23" s="25" t="n">
        <v>1</v>
      </c>
    </row>
    <row r="24" customFormat="false" ht="15" hidden="false" customHeight="false" outlineLevel="0" collapsed="false">
      <c r="A24" s="27"/>
      <c r="B24" s="83" t="s">
        <v>22</v>
      </c>
      <c r="C24" s="27" t="n">
        <v>5</v>
      </c>
      <c r="D24" s="27" t="n">
        <v>4</v>
      </c>
      <c r="E24" s="115" t="n">
        <v>0</v>
      </c>
      <c r="F24" s="116" t="n">
        <v>0</v>
      </c>
      <c r="G24" s="117" t="n">
        <v>3</v>
      </c>
      <c r="H24" s="118" t="n">
        <v>4</v>
      </c>
      <c r="I24" s="27" t="n">
        <v>16</v>
      </c>
    </row>
    <row r="25" customFormat="false" ht="15" hidden="false" customHeight="false" outlineLevel="0" collapsed="false">
      <c r="A25" s="24" t="s">
        <v>86</v>
      </c>
      <c r="B25" s="25" t="s">
        <v>39</v>
      </c>
      <c r="C25" s="25" t="n">
        <v>0</v>
      </c>
      <c r="D25" s="25" t="n">
        <v>0</v>
      </c>
      <c r="E25" s="112" t="n">
        <v>0</v>
      </c>
      <c r="F25" s="113" t="n">
        <v>0</v>
      </c>
      <c r="G25" s="114" t="n">
        <v>0</v>
      </c>
      <c r="H25" s="111" t="n">
        <v>0</v>
      </c>
      <c r="I25" s="25" t="n">
        <v>0</v>
      </c>
    </row>
    <row r="26" customFormat="false" ht="15" hidden="false" customHeight="false" outlineLevel="0" collapsed="false">
      <c r="A26" s="25"/>
      <c r="B26" s="25" t="s">
        <v>40</v>
      </c>
      <c r="C26" s="25" t="n">
        <v>1</v>
      </c>
      <c r="D26" s="25" t="n">
        <v>2</v>
      </c>
      <c r="E26" s="112" t="n">
        <v>0</v>
      </c>
      <c r="F26" s="113" t="n">
        <v>0</v>
      </c>
      <c r="G26" s="114" t="n">
        <v>2</v>
      </c>
      <c r="H26" s="111" t="n">
        <v>1</v>
      </c>
      <c r="I26" s="25" t="n">
        <v>6</v>
      </c>
    </row>
    <row r="27" customFormat="false" ht="15" hidden="false" customHeight="false" outlineLevel="0" collapsed="false">
      <c r="A27" s="25"/>
      <c r="B27" s="25" t="s">
        <v>41</v>
      </c>
      <c r="C27" s="25" t="n">
        <v>17</v>
      </c>
      <c r="D27" s="25" t="n">
        <v>3</v>
      </c>
      <c r="E27" s="112" t="n">
        <v>4</v>
      </c>
      <c r="F27" s="113" t="n">
        <v>0</v>
      </c>
      <c r="G27" s="114" t="n">
        <v>5</v>
      </c>
      <c r="H27" s="111" t="n">
        <v>29</v>
      </c>
      <c r="I27" s="25" t="n">
        <v>58</v>
      </c>
    </row>
    <row r="28" customFormat="false" ht="15" hidden="false" customHeight="false" outlineLevel="0" collapsed="false">
      <c r="A28" s="25"/>
      <c r="B28" s="25" t="s">
        <v>42</v>
      </c>
      <c r="C28" s="25" t="n">
        <v>0</v>
      </c>
      <c r="D28" s="25" t="n">
        <v>2</v>
      </c>
      <c r="E28" s="112" t="n">
        <v>0</v>
      </c>
      <c r="F28" s="113" t="n">
        <v>1</v>
      </c>
      <c r="G28" s="114" t="n">
        <v>0</v>
      </c>
      <c r="H28" s="111" t="n">
        <v>0</v>
      </c>
      <c r="I28" s="25" t="n">
        <v>3</v>
      </c>
    </row>
    <row r="29" customFormat="false" ht="15" hidden="false" customHeight="false" outlineLevel="0" collapsed="false">
      <c r="A29" s="27"/>
      <c r="B29" s="83" t="s">
        <v>22</v>
      </c>
      <c r="C29" s="27" t="n">
        <v>18</v>
      </c>
      <c r="D29" s="27" t="n">
        <v>7</v>
      </c>
      <c r="E29" s="115" t="n">
        <v>4</v>
      </c>
      <c r="F29" s="116" t="n">
        <v>1</v>
      </c>
      <c r="G29" s="117" t="n">
        <v>7</v>
      </c>
      <c r="H29" s="118" t="n">
        <v>30</v>
      </c>
      <c r="I29" s="27" t="n">
        <v>67</v>
      </c>
    </row>
    <row r="30" customFormat="false" ht="15" hidden="false" customHeight="false" outlineLevel="0" collapsed="false">
      <c r="A30" s="24" t="s">
        <v>87</v>
      </c>
      <c r="B30" s="25" t="s">
        <v>44</v>
      </c>
      <c r="C30" s="25" t="n">
        <v>9</v>
      </c>
      <c r="D30" s="25" t="n">
        <v>6</v>
      </c>
      <c r="E30" s="112" t="n">
        <v>8</v>
      </c>
      <c r="F30" s="113" t="n">
        <v>1</v>
      </c>
      <c r="G30" s="114" t="n">
        <v>14</v>
      </c>
      <c r="H30" s="111" t="n">
        <v>14</v>
      </c>
      <c r="I30" s="25" t="n">
        <v>52</v>
      </c>
    </row>
    <row r="31" customFormat="false" ht="15" hidden="false" customHeight="false" outlineLevel="0" collapsed="false">
      <c r="A31" s="25"/>
      <c r="B31" s="25" t="s">
        <v>45</v>
      </c>
      <c r="C31" s="25" t="n">
        <v>0</v>
      </c>
      <c r="D31" s="25" t="n">
        <v>0</v>
      </c>
      <c r="E31" s="112" t="n">
        <v>0</v>
      </c>
      <c r="F31" s="113" t="n">
        <v>0</v>
      </c>
      <c r="G31" s="114" t="n">
        <v>0</v>
      </c>
      <c r="H31" s="111" t="n">
        <v>0</v>
      </c>
      <c r="I31" s="25" t="n">
        <v>0</v>
      </c>
    </row>
    <row r="32" customFormat="false" ht="15" hidden="false" customHeight="false" outlineLevel="0" collapsed="false">
      <c r="A32" s="25"/>
      <c r="B32" s="25" t="s">
        <v>46</v>
      </c>
      <c r="C32" s="25" t="n">
        <v>26</v>
      </c>
      <c r="D32" s="25" t="n">
        <v>32</v>
      </c>
      <c r="E32" s="112" t="n">
        <v>10</v>
      </c>
      <c r="F32" s="113" t="n">
        <v>2</v>
      </c>
      <c r="G32" s="114" t="n">
        <v>21</v>
      </c>
      <c r="H32" s="111" t="n">
        <v>69</v>
      </c>
      <c r="I32" s="25" t="n">
        <v>160</v>
      </c>
    </row>
    <row r="33" customFormat="false" ht="15" hidden="false" customHeight="false" outlineLevel="0" collapsed="false">
      <c r="A33" s="27"/>
      <c r="B33" s="83" t="s">
        <v>22</v>
      </c>
      <c r="C33" s="27" t="n">
        <v>35</v>
      </c>
      <c r="D33" s="27" t="n">
        <v>38</v>
      </c>
      <c r="E33" s="115" t="n">
        <v>18</v>
      </c>
      <c r="F33" s="116" t="n">
        <v>3</v>
      </c>
      <c r="G33" s="117" t="n">
        <v>35</v>
      </c>
      <c r="H33" s="118" t="n">
        <v>83</v>
      </c>
      <c r="I33" s="27" t="n">
        <v>212</v>
      </c>
    </row>
    <row r="34" customFormat="false" ht="15" hidden="false" customHeight="false" outlineLevel="0" collapsed="false">
      <c r="A34" s="24" t="s">
        <v>90</v>
      </c>
      <c r="B34" s="25" t="s">
        <v>91</v>
      </c>
      <c r="C34" s="25" t="n">
        <v>0</v>
      </c>
      <c r="D34" s="25" t="n">
        <v>0</v>
      </c>
      <c r="E34" s="112" t="n">
        <v>0</v>
      </c>
      <c r="F34" s="113" t="n">
        <v>0</v>
      </c>
      <c r="G34" s="114" t="n">
        <v>0</v>
      </c>
      <c r="H34" s="111" t="n">
        <v>0</v>
      </c>
      <c r="I34" s="25" t="n">
        <v>0</v>
      </c>
    </row>
    <row r="35" customFormat="false" ht="15" hidden="false" customHeight="false" outlineLevel="0" collapsed="false">
      <c r="A35" s="25"/>
      <c r="B35" s="25" t="s">
        <v>92</v>
      </c>
      <c r="C35" s="25" t="n">
        <v>1</v>
      </c>
      <c r="D35" s="25" t="n">
        <v>10</v>
      </c>
      <c r="E35" s="112" t="n">
        <v>3</v>
      </c>
      <c r="F35" s="113" t="n">
        <v>1</v>
      </c>
      <c r="G35" s="114" t="n">
        <v>19</v>
      </c>
      <c r="H35" s="111" t="n">
        <v>27</v>
      </c>
      <c r="I35" s="25" t="n">
        <v>61</v>
      </c>
    </row>
    <row r="36" customFormat="false" ht="15" hidden="false" customHeight="false" outlineLevel="0" collapsed="false">
      <c r="A36" s="25"/>
      <c r="B36" s="25" t="s">
        <v>93</v>
      </c>
      <c r="C36" s="25" t="n">
        <v>0</v>
      </c>
      <c r="D36" s="25" t="n">
        <v>0</v>
      </c>
      <c r="E36" s="112" t="n">
        <v>0</v>
      </c>
      <c r="F36" s="113" t="n">
        <v>0</v>
      </c>
      <c r="G36" s="114" t="n">
        <v>0</v>
      </c>
      <c r="H36" s="111" t="n">
        <v>0</v>
      </c>
      <c r="I36" s="25" t="n">
        <v>0</v>
      </c>
    </row>
    <row r="37" customFormat="false" ht="15" hidden="false" customHeight="false" outlineLevel="0" collapsed="false">
      <c r="A37" s="25"/>
      <c r="B37" s="25" t="s">
        <v>94</v>
      </c>
      <c r="C37" s="25" t="n">
        <v>9</v>
      </c>
      <c r="D37" s="25" t="n">
        <v>10</v>
      </c>
      <c r="E37" s="112" t="n">
        <v>3</v>
      </c>
      <c r="F37" s="113" t="n">
        <v>4</v>
      </c>
      <c r="G37" s="114" t="n">
        <v>16</v>
      </c>
      <c r="H37" s="111" t="n">
        <v>32</v>
      </c>
      <c r="I37" s="25" t="n">
        <v>74</v>
      </c>
    </row>
    <row r="38" customFormat="false" ht="15" hidden="false" customHeight="false" outlineLevel="0" collapsed="false">
      <c r="A38" s="25"/>
      <c r="B38" s="25" t="s">
        <v>95</v>
      </c>
      <c r="C38" s="25" t="n">
        <v>17</v>
      </c>
      <c r="D38" s="25" t="n">
        <v>5</v>
      </c>
      <c r="E38" s="112" t="n">
        <v>1</v>
      </c>
      <c r="F38" s="113" t="n">
        <v>2</v>
      </c>
      <c r="G38" s="114" t="n">
        <v>7</v>
      </c>
      <c r="H38" s="111" t="n">
        <v>26</v>
      </c>
      <c r="I38" s="25" t="n">
        <v>58</v>
      </c>
    </row>
    <row r="39" customFormat="false" ht="15" hidden="false" customHeight="false" outlineLevel="0" collapsed="false">
      <c r="A39" s="25"/>
      <c r="B39" s="25" t="s">
        <v>96</v>
      </c>
      <c r="C39" s="25" t="n">
        <v>17</v>
      </c>
      <c r="D39" s="25" t="n">
        <v>11</v>
      </c>
      <c r="E39" s="112" t="n">
        <v>4</v>
      </c>
      <c r="F39" s="113" t="n">
        <v>3</v>
      </c>
      <c r="G39" s="114" t="n">
        <v>14</v>
      </c>
      <c r="H39" s="111" t="n">
        <v>28</v>
      </c>
      <c r="I39" s="25" t="n">
        <v>77</v>
      </c>
    </row>
    <row r="40" customFormat="false" ht="15" hidden="false" customHeight="false" outlineLevel="0" collapsed="false">
      <c r="A40" s="25"/>
      <c r="B40" s="25" t="s">
        <v>97</v>
      </c>
      <c r="C40" s="25" t="n">
        <v>5</v>
      </c>
      <c r="D40" s="25" t="n">
        <v>4</v>
      </c>
      <c r="E40" s="112" t="n">
        <v>1</v>
      </c>
      <c r="F40" s="113" t="n">
        <v>0</v>
      </c>
      <c r="G40" s="114" t="n">
        <v>6</v>
      </c>
      <c r="H40" s="111" t="n">
        <v>18</v>
      </c>
      <c r="I40" s="25" t="n">
        <v>34</v>
      </c>
    </row>
    <row r="41" customFormat="false" ht="15" hidden="false" customHeight="false" outlineLevel="0" collapsed="false">
      <c r="A41" s="25"/>
      <c r="B41" s="25" t="s">
        <v>98</v>
      </c>
      <c r="C41" s="25" t="n">
        <v>0</v>
      </c>
      <c r="D41" s="25" t="n">
        <v>0</v>
      </c>
      <c r="E41" s="112" t="n">
        <v>0</v>
      </c>
      <c r="F41" s="113" t="n">
        <v>0</v>
      </c>
      <c r="G41" s="114" t="n">
        <v>0</v>
      </c>
      <c r="H41" s="111" t="n">
        <v>0</v>
      </c>
      <c r="I41" s="25" t="n">
        <v>0</v>
      </c>
    </row>
    <row r="42" customFormat="false" ht="15" hidden="false" customHeight="false" outlineLevel="0" collapsed="false">
      <c r="A42" s="25"/>
      <c r="B42" s="25" t="s">
        <v>99</v>
      </c>
      <c r="C42" s="25" t="n">
        <v>0</v>
      </c>
      <c r="D42" s="25" t="n">
        <v>1</v>
      </c>
      <c r="E42" s="112" t="n">
        <v>2</v>
      </c>
      <c r="F42" s="113" t="n">
        <v>1</v>
      </c>
      <c r="G42" s="114" t="n">
        <v>5</v>
      </c>
      <c r="H42" s="111" t="n">
        <v>7</v>
      </c>
      <c r="I42" s="25" t="n">
        <v>16</v>
      </c>
    </row>
    <row r="43" customFormat="false" ht="15" hidden="false" customHeight="false" outlineLevel="0" collapsed="false">
      <c r="A43" s="27"/>
      <c r="B43" s="83" t="s">
        <v>22</v>
      </c>
      <c r="C43" s="27" t="n">
        <v>49</v>
      </c>
      <c r="D43" s="27" t="n">
        <v>41</v>
      </c>
      <c r="E43" s="115" t="n">
        <v>14</v>
      </c>
      <c r="F43" s="116" t="n">
        <v>11</v>
      </c>
      <c r="G43" s="117" t="n">
        <v>67</v>
      </c>
      <c r="H43" s="118" t="n">
        <v>138</v>
      </c>
      <c r="I43" s="27" t="n">
        <v>320</v>
      </c>
    </row>
    <row r="44" customFormat="false" ht="15" hidden="false" customHeight="false" outlineLevel="0" collapsed="false">
      <c r="A44" s="24" t="s">
        <v>100</v>
      </c>
      <c r="B44" s="25" t="s">
        <v>101</v>
      </c>
      <c r="C44" s="25" t="n">
        <v>10</v>
      </c>
      <c r="D44" s="25" t="n">
        <v>19</v>
      </c>
      <c r="E44" s="112" t="n">
        <v>2</v>
      </c>
      <c r="F44" s="113" t="n">
        <v>2</v>
      </c>
      <c r="G44" s="114" t="n">
        <v>14</v>
      </c>
      <c r="H44" s="111" t="n">
        <v>24</v>
      </c>
      <c r="I44" s="25" t="n">
        <v>71</v>
      </c>
    </row>
    <row r="45" customFormat="false" ht="15" hidden="false" customHeight="false" outlineLevel="0" collapsed="false">
      <c r="A45" s="25"/>
      <c r="B45" s="25" t="s">
        <v>102</v>
      </c>
      <c r="C45" s="25" t="n">
        <v>0</v>
      </c>
      <c r="D45" s="25" t="n">
        <v>0</v>
      </c>
      <c r="E45" s="112" t="n">
        <v>0</v>
      </c>
      <c r="F45" s="113" t="n">
        <v>0</v>
      </c>
      <c r="G45" s="114" t="n">
        <v>0</v>
      </c>
      <c r="H45" s="111" t="n">
        <v>0</v>
      </c>
      <c r="I45" s="25" t="n">
        <v>0</v>
      </c>
    </row>
    <row r="46" customFormat="false" ht="15" hidden="false" customHeight="false" outlineLevel="0" collapsed="false">
      <c r="A46" s="25"/>
      <c r="B46" s="25" t="s">
        <v>103</v>
      </c>
      <c r="C46" s="25" t="n">
        <v>0</v>
      </c>
      <c r="D46" s="25" t="n">
        <v>0</v>
      </c>
      <c r="E46" s="112" t="n">
        <v>0</v>
      </c>
      <c r="F46" s="113" t="n">
        <v>0</v>
      </c>
      <c r="G46" s="114" t="n">
        <v>1</v>
      </c>
      <c r="H46" s="111" t="n">
        <v>0</v>
      </c>
      <c r="I46" s="25" t="n">
        <v>1</v>
      </c>
    </row>
    <row r="47" customFormat="false" ht="15" hidden="false" customHeight="false" outlineLevel="0" collapsed="false">
      <c r="A47" s="25"/>
      <c r="B47" s="25" t="s">
        <v>104</v>
      </c>
      <c r="C47" s="25" t="n">
        <v>0</v>
      </c>
      <c r="D47" s="25" t="n">
        <v>0</v>
      </c>
      <c r="E47" s="112" t="n">
        <v>0</v>
      </c>
      <c r="F47" s="113" t="n">
        <v>0</v>
      </c>
      <c r="G47" s="114" t="n">
        <v>0</v>
      </c>
      <c r="H47" s="111" t="n">
        <v>0</v>
      </c>
      <c r="I47" s="25" t="n">
        <v>0</v>
      </c>
    </row>
    <row r="48" customFormat="false" ht="15" hidden="false" customHeight="false" outlineLevel="0" collapsed="false">
      <c r="A48" s="25"/>
      <c r="B48" s="25" t="s">
        <v>105</v>
      </c>
      <c r="C48" s="25" t="n">
        <v>0</v>
      </c>
      <c r="D48" s="25" t="n">
        <v>0</v>
      </c>
      <c r="E48" s="112" t="n">
        <v>0</v>
      </c>
      <c r="F48" s="113" t="n">
        <v>0</v>
      </c>
      <c r="G48" s="114" t="n">
        <v>0</v>
      </c>
      <c r="H48" s="111" t="n">
        <v>0</v>
      </c>
      <c r="I48" s="25" t="n">
        <v>0</v>
      </c>
    </row>
    <row r="49" customFormat="false" ht="15" hidden="false" customHeight="false" outlineLevel="0" collapsed="false">
      <c r="A49" s="25"/>
      <c r="B49" s="25" t="s">
        <v>106</v>
      </c>
      <c r="C49" s="25" t="n">
        <v>0</v>
      </c>
      <c r="D49" s="25" t="n">
        <v>0</v>
      </c>
      <c r="E49" s="112" t="n">
        <v>0</v>
      </c>
      <c r="F49" s="113" t="n">
        <v>0</v>
      </c>
      <c r="G49" s="114" t="n">
        <v>0</v>
      </c>
      <c r="H49" s="111" t="n">
        <v>0</v>
      </c>
      <c r="I49" s="25" t="n">
        <v>0</v>
      </c>
    </row>
    <row r="50" customFormat="false" ht="15" hidden="false" customHeight="false" outlineLevel="0" collapsed="false">
      <c r="A50" s="25"/>
      <c r="B50" s="25" t="s">
        <v>107</v>
      </c>
      <c r="C50" s="25" t="n">
        <v>0</v>
      </c>
      <c r="D50" s="25" t="n">
        <v>0</v>
      </c>
      <c r="E50" s="112" t="n">
        <v>0</v>
      </c>
      <c r="F50" s="113" t="n">
        <v>0</v>
      </c>
      <c r="G50" s="114" t="n">
        <v>0</v>
      </c>
      <c r="H50" s="111" t="n">
        <v>0</v>
      </c>
      <c r="I50" s="25" t="n">
        <v>0</v>
      </c>
    </row>
    <row r="51" customFormat="false" ht="15" hidden="false" customHeight="false" outlineLevel="0" collapsed="false">
      <c r="A51" s="25"/>
      <c r="B51" s="25" t="s">
        <v>108</v>
      </c>
      <c r="C51" s="25" t="n">
        <v>0</v>
      </c>
      <c r="D51" s="25" t="n">
        <v>0</v>
      </c>
      <c r="E51" s="112" t="n">
        <v>0</v>
      </c>
      <c r="F51" s="113" t="n">
        <v>0</v>
      </c>
      <c r="G51" s="114" t="n">
        <v>5</v>
      </c>
      <c r="H51" s="111" t="n">
        <v>7</v>
      </c>
      <c r="I51" s="25" t="n">
        <v>12</v>
      </c>
    </row>
    <row r="52" customFormat="false" ht="15" hidden="false" customHeight="false" outlineLevel="0" collapsed="false">
      <c r="A52" s="25"/>
      <c r="B52" s="25" t="s">
        <v>109</v>
      </c>
      <c r="C52" s="25" t="n">
        <v>19</v>
      </c>
      <c r="D52" s="25" t="n">
        <v>10</v>
      </c>
      <c r="E52" s="112" t="n">
        <v>2</v>
      </c>
      <c r="F52" s="113" t="n">
        <v>2</v>
      </c>
      <c r="G52" s="114" t="n">
        <v>19</v>
      </c>
      <c r="H52" s="111" t="n">
        <v>37</v>
      </c>
      <c r="I52" s="25" t="n">
        <v>89</v>
      </c>
    </row>
    <row r="53" customFormat="false" ht="15" hidden="false" customHeight="false" outlineLevel="0" collapsed="false">
      <c r="A53" s="25"/>
      <c r="B53" s="25" t="s">
        <v>110</v>
      </c>
      <c r="C53" s="25" t="n">
        <v>9</v>
      </c>
      <c r="D53" s="25" t="n">
        <v>1</v>
      </c>
      <c r="E53" s="112" t="n">
        <v>0</v>
      </c>
      <c r="F53" s="113" t="n">
        <v>0</v>
      </c>
      <c r="G53" s="114" t="n">
        <v>2</v>
      </c>
      <c r="H53" s="111" t="n">
        <v>0</v>
      </c>
      <c r="I53" s="25" t="n">
        <v>12</v>
      </c>
    </row>
    <row r="54" customFormat="false" ht="15" hidden="false" customHeight="false" outlineLevel="0" collapsed="false">
      <c r="A54" s="25"/>
      <c r="B54" s="25" t="s">
        <v>111</v>
      </c>
      <c r="C54" s="25" t="n">
        <v>0</v>
      </c>
      <c r="D54" s="25" t="n">
        <v>0</v>
      </c>
      <c r="E54" s="112" t="n">
        <v>0</v>
      </c>
      <c r="F54" s="113" t="n">
        <v>0</v>
      </c>
      <c r="G54" s="114" t="n">
        <v>0</v>
      </c>
      <c r="H54" s="111" t="n">
        <v>9</v>
      </c>
      <c r="I54" s="25" t="n">
        <v>9</v>
      </c>
    </row>
    <row r="55" customFormat="false" ht="15" hidden="false" customHeight="false" outlineLevel="0" collapsed="false">
      <c r="A55" s="25"/>
      <c r="B55" s="25" t="s">
        <v>112</v>
      </c>
      <c r="C55" s="25" t="n">
        <v>0</v>
      </c>
      <c r="D55" s="25" t="n">
        <v>0</v>
      </c>
      <c r="E55" s="112" t="n">
        <v>0</v>
      </c>
      <c r="F55" s="113" t="n">
        <v>0</v>
      </c>
      <c r="G55" s="114" t="n">
        <v>0</v>
      </c>
      <c r="H55" s="111" t="n">
        <v>0</v>
      </c>
      <c r="I55" s="25" t="n">
        <v>0</v>
      </c>
    </row>
    <row r="56" customFormat="false" ht="15" hidden="false" customHeight="false" outlineLevel="0" collapsed="false">
      <c r="A56" s="25"/>
      <c r="B56" s="25" t="s">
        <v>113</v>
      </c>
      <c r="C56" s="25" t="n">
        <v>0</v>
      </c>
      <c r="D56" s="25" t="n">
        <v>0</v>
      </c>
      <c r="E56" s="112" t="n">
        <v>0</v>
      </c>
      <c r="F56" s="113" t="n">
        <v>0</v>
      </c>
      <c r="G56" s="114" t="n">
        <v>0</v>
      </c>
      <c r="H56" s="111" t="n">
        <v>0</v>
      </c>
      <c r="I56" s="25" t="n">
        <v>0</v>
      </c>
    </row>
    <row r="57" customFormat="false" ht="15" hidden="false" customHeight="false" outlineLevel="0" collapsed="false">
      <c r="A57" s="25"/>
      <c r="B57" s="25" t="s">
        <v>114</v>
      </c>
      <c r="C57" s="25" t="n">
        <v>0</v>
      </c>
      <c r="D57" s="25" t="n">
        <v>0</v>
      </c>
      <c r="E57" s="112" t="n">
        <v>0</v>
      </c>
      <c r="F57" s="113" t="n">
        <v>0</v>
      </c>
      <c r="G57" s="114" t="n">
        <v>0</v>
      </c>
      <c r="H57" s="111" t="n">
        <v>0</v>
      </c>
      <c r="I57" s="25" t="n">
        <v>0</v>
      </c>
    </row>
    <row r="58" customFormat="false" ht="15" hidden="false" customHeight="false" outlineLevel="0" collapsed="false">
      <c r="A58" s="25"/>
      <c r="B58" s="25" t="s">
        <v>115</v>
      </c>
      <c r="C58" s="25" t="n">
        <v>10</v>
      </c>
      <c r="D58" s="25" t="n">
        <v>5</v>
      </c>
      <c r="E58" s="112" t="n">
        <v>0</v>
      </c>
      <c r="F58" s="113" t="n">
        <v>0</v>
      </c>
      <c r="G58" s="114" t="n">
        <v>6</v>
      </c>
      <c r="H58" s="111" t="n">
        <v>24</v>
      </c>
      <c r="I58" s="25" t="n">
        <v>45</v>
      </c>
    </row>
    <row r="59" customFormat="false" ht="15" hidden="false" customHeight="false" outlineLevel="0" collapsed="false">
      <c r="A59" s="25"/>
      <c r="B59" s="25" t="s">
        <v>116</v>
      </c>
      <c r="C59" s="25" t="n">
        <v>0</v>
      </c>
      <c r="D59" s="25" t="n">
        <v>0</v>
      </c>
      <c r="E59" s="112" t="n">
        <v>0</v>
      </c>
      <c r="F59" s="113" t="n">
        <v>0</v>
      </c>
      <c r="G59" s="114" t="n">
        <v>0</v>
      </c>
      <c r="H59" s="111" t="n">
        <v>0</v>
      </c>
      <c r="I59" s="25" t="n">
        <v>0</v>
      </c>
    </row>
    <row r="60" customFormat="false" ht="15" hidden="false" customHeight="false" outlineLevel="0" collapsed="false">
      <c r="A60" s="104"/>
      <c r="B60" s="83" t="s">
        <v>22</v>
      </c>
      <c r="C60" s="27" t="n">
        <v>48</v>
      </c>
      <c r="D60" s="27" t="n">
        <v>35</v>
      </c>
      <c r="E60" s="115" t="n">
        <v>4</v>
      </c>
      <c r="F60" s="116" t="n">
        <v>4</v>
      </c>
      <c r="G60" s="117" t="n">
        <v>47</v>
      </c>
      <c r="H60" s="118" t="n">
        <v>101</v>
      </c>
      <c r="I60" s="27" t="n">
        <v>239</v>
      </c>
    </row>
    <row r="61" customFormat="false" ht="15" hidden="false" customHeight="false" outlineLevel="0" collapsed="false">
      <c r="A61" s="25"/>
      <c r="B61" s="26" t="s">
        <v>74</v>
      </c>
      <c r="C61" s="26" t="n">
        <v>165</v>
      </c>
      <c r="D61" s="26" t="n">
        <v>131</v>
      </c>
      <c r="E61" s="119" t="n">
        <v>42</v>
      </c>
      <c r="F61" s="120" t="n">
        <v>22</v>
      </c>
      <c r="G61" s="121" t="n">
        <v>166</v>
      </c>
      <c r="H61" s="122" t="n">
        <v>355</v>
      </c>
      <c r="I61" s="26" t="n">
        <v>881</v>
      </c>
    </row>
    <row r="62" customFormat="false" ht="15.75" hidden="false" customHeight="false" outlineLevel="0" collapsed="false">
      <c r="A62" s="25"/>
      <c r="B62" s="25" t="s">
        <v>117</v>
      </c>
      <c r="C62" s="33" t="n">
        <v>0.187287173666288</v>
      </c>
      <c r="D62" s="33" t="n">
        <v>0.148694665153235</v>
      </c>
      <c r="E62" s="123" t="n">
        <v>0.0476730987514188</v>
      </c>
      <c r="F62" s="124" t="n">
        <v>0.0249716231555051</v>
      </c>
      <c r="G62" s="125" t="n">
        <v>0.188422247446084</v>
      </c>
      <c r="H62" s="126" t="n">
        <v>0.402951191827469</v>
      </c>
      <c r="I62" s="33" t="n">
        <v>1</v>
      </c>
    </row>
    <row r="63" customFormat="false" ht="15" hidden="false" customHeight="false" outlineLevel="0" collapsed="false">
      <c r="A63" s="34" t="s">
        <v>118</v>
      </c>
    </row>
    <row r="64" customFormat="false" ht="15" hidden="false" customHeight="false" outlineLevel="0" collapsed="false">
      <c r="A64" s="2" t="s">
        <v>221</v>
      </c>
    </row>
  </sheetData>
  <mergeCells count="7">
    <mergeCell ref="A1:I1"/>
    <mergeCell ref="A3:A4"/>
    <mergeCell ref="B3:B4"/>
    <mergeCell ref="C3:E3"/>
    <mergeCell ref="F3:G3"/>
    <mergeCell ref="H3:H4"/>
    <mergeCell ref="I3:I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LibreOffice/5.3.0.3$Windows_X86_64 LibreOffice_project/7074905676c47b82bbcfbea1aeefc84afe1c50e1</Application>
  <Company>Toshiba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2017-07-28T01:50:32Z</dcterms:created>
  <dc:creator>Robert</dc:creator>
  <dc:description/>
  <dc:language>en-US</dc:language>
  <cp:lastModifiedBy/>
  <dcterms:modified xsi:type="dcterms:W3CDTF">2017-08-31T09:56:36Z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Toshiba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