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Users\jerem\Dropbox\Education\Graduate Administrative\Advisor Meetings\Mad_river documents\Paper\submission package\"/>
    </mc:Choice>
  </mc:AlternateContent>
  <xr:revisionPtr revIDLastSave="0" documentId="13_ncr:1_{DFF811B5-6234-40A0-A9C1-FF06C3507934}" xr6:coauthVersionLast="47" xr6:coauthVersionMax="47" xr10:uidLastSave="{00000000-0000-0000-0000-000000000000}"/>
  <bookViews>
    <workbookView xWindow="-108" yWindow="-108" windowWidth="30936" windowHeight="16776" tabRatio="691" xr2:uid="{00000000-000D-0000-FFFF-FFFF00000000}"/>
  </bookViews>
  <sheets>
    <sheet name="Table Data" sheetId="7" r:id="rId1"/>
    <sheet name="table for reach schematic" sheetId="16" r:id="rId2"/>
    <sheet name="Specific Volume Capacity" sheetId="12" r:id="rId3"/>
    <sheet name="SVC Figure" sheetId="14" r:id="rId4"/>
    <sheet name="SSP" sheetId="13" r:id="rId5"/>
    <sheet name="SSP Figure" sheetId="10" r:id="rId6"/>
    <sheet name="additional plots" sheetId="9" r:id="rId7"/>
    <sheet name="klu"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16" i="10" l="1"/>
  <c r="H15" i="10" s="1"/>
  <c r="H14" i="10" s="1"/>
  <c r="H13" i="10" s="1"/>
  <c r="H12" i="10" s="1"/>
  <c r="H11" i="10" s="1"/>
  <c r="H10" i="10" s="1"/>
  <c r="H9" i="10" s="1"/>
  <c r="H8" i="10" s="1"/>
  <c r="H7" i="10" s="1"/>
  <c r="H6" i="10" s="1"/>
  <c r="H5" i="10" s="1"/>
  <c r="H4" i="10" s="1"/>
  <c r="H3" i="10" s="1"/>
  <c r="H2" i="10" s="1"/>
  <c r="H17" i="10"/>
  <c r="H18" i="10"/>
  <c r="M26" i="14"/>
  <c r="N22" i="14"/>
  <c r="DA36" i="13"/>
  <c r="CA34" i="13"/>
  <c r="CB34" i="13" s="1"/>
  <c r="CC34" i="13" s="1"/>
  <c r="CA33" i="13"/>
  <c r="CB33" i="13" s="1"/>
  <c r="CC33" i="13" s="1"/>
  <c r="DP32" i="13"/>
  <c r="DB32" i="13"/>
  <c r="CA32" i="13"/>
  <c r="CB32" i="13" s="1"/>
  <c r="CC32" i="13" s="1"/>
  <c r="DP31" i="13"/>
  <c r="CB31" i="13"/>
  <c r="CC31" i="13" s="1"/>
  <c r="CA31" i="13"/>
  <c r="HH30" i="13"/>
  <c r="HG30" i="13"/>
  <c r="HF30" i="13"/>
  <c r="HC30" i="13"/>
  <c r="GA30" i="13"/>
  <c r="FW30" i="13"/>
  <c r="FU30" i="13"/>
  <c r="FN30" i="13"/>
  <c r="ER30" i="13"/>
  <c r="EO30" i="13"/>
  <c r="EN30" i="13"/>
  <c r="DP30" i="13"/>
  <c r="DI30" i="13"/>
  <c r="CP30" i="13"/>
  <c r="CO30" i="13"/>
  <c r="CH30" i="13"/>
  <c r="Z30" i="13" s="1"/>
  <c r="BZ30" i="13"/>
  <c r="BY30" i="13"/>
  <c r="BP30" i="13"/>
  <c r="BQ30" i="13" s="1"/>
  <c r="BL30" i="13"/>
  <c r="BK30" i="13"/>
  <c r="BI30" i="13"/>
  <c r="BC30" i="13"/>
  <c r="BD30" i="13" s="1"/>
  <c r="BA30" i="13"/>
  <c r="AF30" i="13"/>
  <c r="AD30" i="13"/>
  <c r="HH29" i="13"/>
  <c r="HG29" i="13"/>
  <c r="HF29" i="13"/>
  <c r="HC29" i="13"/>
  <c r="GA29" i="13"/>
  <c r="FW29" i="13"/>
  <c r="CP29" i="13" s="1"/>
  <c r="FU29" i="13"/>
  <c r="CO29" i="13" s="1"/>
  <c r="FN29" i="13"/>
  <c r="ER29" i="13"/>
  <c r="EO29" i="13"/>
  <c r="EN29" i="13"/>
  <c r="DP29" i="13"/>
  <c r="DI29" i="13"/>
  <c r="CH29" i="13"/>
  <c r="AF29" i="13" s="1"/>
  <c r="BZ29" i="13"/>
  <c r="BY29" i="13"/>
  <c r="BQ29" i="13"/>
  <c r="BP29" i="13"/>
  <c r="BK29" i="13"/>
  <c r="BL29" i="13" s="1"/>
  <c r="BI29" i="13"/>
  <c r="BD29" i="13"/>
  <c r="BC29" i="13"/>
  <c r="BA29" i="13"/>
  <c r="AD29" i="13"/>
  <c r="Z29" i="13"/>
  <c r="X29" i="13"/>
  <c r="AA29" i="13" s="1"/>
  <c r="HH28" i="13"/>
  <c r="HG28" i="13"/>
  <c r="HF28" i="13"/>
  <c r="HC28" i="13"/>
  <c r="GA28" i="13"/>
  <c r="FW28" i="13"/>
  <c r="CP28" i="13" s="1"/>
  <c r="FU28" i="13"/>
  <c r="CO28" i="13" s="1"/>
  <c r="FR28" i="13"/>
  <c r="EN28" i="13" s="1"/>
  <c r="FN28" i="13"/>
  <c r="DI28" i="13" s="1"/>
  <c r="ER28" i="13"/>
  <c r="EO28" i="13"/>
  <c r="DP28" i="13"/>
  <c r="CH28" i="13"/>
  <c r="BK28" i="13" s="1"/>
  <c r="BZ28" i="13"/>
  <c r="BY28" i="13"/>
  <c r="BP28" i="13"/>
  <c r="BQ28" i="13" s="1"/>
  <c r="BD28" i="13"/>
  <c r="BC28" i="13"/>
  <c r="BA28" i="13"/>
  <c r="HH27" i="13"/>
  <c r="HG27" i="13"/>
  <c r="HF27" i="13"/>
  <c r="HC27" i="13"/>
  <c r="GA27" i="13"/>
  <c r="FW27" i="13"/>
  <c r="CP27" i="13" s="1"/>
  <c r="FU27" i="13"/>
  <c r="FN27" i="13"/>
  <c r="ER27" i="13"/>
  <c r="EO27" i="13"/>
  <c r="EN27" i="13"/>
  <c r="DP27" i="13"/>
  <c r="DI27" i="13"/>
  <c r="CO27" i="13"/>
  <c r="CH27" i="13"/>
  <c r="BQ27" i="13" s="1"/>
  <c r="CA27" i="13"/>
  <c r="BZ27" i="13"/>
  <c r="CB27" i="13" s="1"/>
  <c r="BY27" i="13"/>
  <c r="CC27" i="13" s="1"/>
  <c r="CJ27" i="13" s="1"/>
  <c r="BP27" i="13"/>
  <c r="BC27" i="13"/>
  <c r="BD27" i="13" s="1"/>
  <c r="BA27" i="13"/>
  <c r="AF27" i="13"/>
  <c r="AD27" i="13"/>
  <c r="Z27" i="13"/>
  <c r="X27" i="13"/>
  <c r="AA27" i="13" s="1"/>
  <c r="HH26" i="13"/>
  <c r="HG26" i="13"/>
  <c r="HF26" i="13"/>
  <c r="HC26" i="13"/>
  <c r="GA26" i="13"/>
  <c r="FW26" i="13"/>
  <c r="FU26" i="13"/>
  <c r="FN26" i="13"/>
  <c r="ER26" i="13"/>
  <c r="EO26" i="13"/>
  <c r="EN26" i="13"/>
  <c r="DP26" i="13"/>
  <c r="DI26" i="13"/>
  <c r="CP26" i="13"/>
  <c r="CO26" i="13"/>
  <c r="CH26" i="13"/>
  <c r="BK26" i="13" s="1"/>
  <c r="BZ26" i="13"/>
  <c r="BY26" i="13"/>
  <c r="CA26" i="13" s="1"/>
  <c r="CB26" i="13" s="1"/>
  <c r="CC26" i="13" s="1"/>
  <c r="CJ26" i="13" s="1"/>
  <c r="BP26" i="13"/>
  <c r="BQ26" i="13" s="1"/>
  <c r="BD26" i="13"/>
  <c r="BC26" i="13"/>
  <c r="BA26" i="13"/>
  <c r="Z26" i="13"/>
  <c r="HH25" i="13"/>
  <c r="HG25" i="13"/>
  <c r="HF25" i="13"/>
  <c r="HC25" i="13"/>
  <c r="GA25" i="13"/>
  <c r="FW25" i="13"/>
  <c r="FU25" i="13"/>
  <c r="FR25" i="13"/>
  <c r="EN25" i="13" s="1"/>
  <c r="FN25" i="13"/>
  <c r="ER25" i="13"/>
  <c r="EO25" i="13"/>
  <c r="DP25" i="13"/>
  <c r="DI25" i="13"/>
  <c r="CP25" i="13"/>
  <c r="CO25" i="13"/>
  <c r="CH25" i="13"/>
  <c r="X25" i="13" s="1"/>
  <c r="AA25" i="13" s="1"/>
  <c r="BZ25" i="13"/>
  <c r="BY25" i="13"/>
  <c r="BQ25" i="13"/>
  <c r="BP25" i="13"/>
  <c r="BK25" i="13"/>
  <c r="BI25" i="13"/>
  <c r="BL25" i="13" s="1"/>
  <c r="BC25" i="13"/>
  <c r="BD25" i="13" s="1"/>
  <c r="BA25" i="13"/>
  <c r="AF25" i="13"/>
  <c r="AD25" i="13"/>
  <c r="Z25" i="13"/>
  <c r="HH24" i="13"/>
  <c r="HG24" i="13"/>
  <c r="HF24" i="13"/>
  <c r="HC24" i="13"/>
  <c r="GA24" i="13"/>
  <c r="FW24" i="13"/>
  <c r="CP24" i="13" s="1"/>
  <c r="FU24" i="13"/>
  <c r="CO24" i="13" s="1"/>
  <c r="FN24" i="13"/>
  <c r="EO24" i="13"/>
  <c r="EN24" i="13"/>
  <c r="DP24" i="13"/>
  <c r="DI24" i="13"/>
  <c r="CH24" i="13"/>
  <c r="BZ24" i="13"/>
  <c r="BY24" i="13"/>
  <c r="BQ24" i="13"/>
  <c r="BP24" i="13"/>
  <c r="BK24" i="13"/>
  <c r="BL24" i="13" s="1"/>
  <c r="BI24" i="13"/>
  <c r="BD24" i="13"/>
  <c r="BC24" i="13"/>
  <c r="BA24" i="13"/>
  <c r="AF24" i="13"/>
  <c r="AD24" i="13"/>
  <c r="Z24" i="13"/>
  <c r="X24" i="13"/>
  <c r="AA24" i="13" s="1"/>
  <c r="HH23" i="13"/>
  <c r="HG23" i="13"/>
  <c r="HF23" i="13"/>
  <c r="HC23" i="13"/>
  <c r="GA23" i="13"/>
  <c r="FW23" i="13"/>
  <c r="CP23" i="13" s="1"/>
  <c r="FU23" i="13"/>
  <c r="CO23" i="13" s="1"/>
  <c r="FN23" i="13"/>
  <c r="DI23" i="13" s="1"/>
  <c r="EO23" i="13"/>
  <c r="EN23" i="13"/>
  <c r="DP23" i="13"/>
  <c r="CH23" i="13"/>
  <c r="AF23" i="13" s="1"/>
  <c r="CB23" i="13"/>
  <c r="CA23" i="13"/>
  <c r="BZ23" i="13"/>
  <c r="BY23" i="13"/>
  <c r="CC23" i="13" s="1"/>
  <c r="CJ23" i="13" s="1"/>
  <c r="BP23" i="13"/>
  <c r="BQ23" i="13" s="1"/>
  <c r="BK23" i="13"/>
  <c r="BL23" i="13" s="1"/>
  <c r="BI23" i="13"/>
  <c r="BD23" i="13"/>
  <c r="BC23" i="13"/>
  <c r="BA23" i="13"/>
  <c r="AD23" i="13"/>
  <c r="Z23" i="13"/>
  <c r="X23" i="13"/>
  <c r="AA23" i="13" s="1"/>
  <c r="HH22" i="13"/>
  <c r="HG22" i="13"/>
  <c r="HF22" i="13"/>
  <c r="HC22" i="13"/>
  <c r="GA22" i="13"/>
  <c r="FW22" i="13"/>
  <c r="CP22" i="13" s="1"/>
  <c r="FU22" i="13"/>
  <c r="CO22" i="13" s="1"/>
  <c r="FR22" i="13"/>
  <c r="EN22" i="13" s="1"/>
  <c r="FN22" i="13"/>
  <c r="DI22" i="13" s="1"/>
  <c r="ER22" i="13"/>
  <c r="EO22" i="13"/>
  <c r="DP22" i="13"/>
  <c r="CH22" i="13"/>
  <c r="BK22" i="13" s="1"/>
  <c r="BZ22" i="13"/>
  <c r="BY22" i="13"/>
  <c r="BQ22" i="13"/>
  <c r="BP22" i="13"/>
  <c r="BD22" i="13"/>
  <c r="BC22" i="13"/>
  <c r="BA22" i="13"/>
  <c r="AF22" i="13"/>
  <c r="AD22" i="13"/>
  <c r="X22" i="13"/>
  <c r="HH21" i="13"/>
  <c r="HG21" i="13"/>
  <c r="HF21" i="13"/>
  <c r="HC21" i="13"/>
  <c r="GA21" i="13"/>
  <c r="FW21" i="13"/>
  <c r="FU21" i="13"/>
  <c r="FR21" i="13"/>
  <c r="FN21" i="13"/>
  <c r="ER21" i="13"/>
  <c r="EO21" i="13"/>
  <c r="EN21" i="13"/>
  <c r="DP21" i="13"/>
  <c r="DI21" i="13"/>
  <c r="CP21" i="13"/>
  <c r="CO21" i="13"/>
  <c r="CH21" i="13"/>
  <c r="BK21" i="13" s="1"/>
  <c r="BZ21" i="13"/>
  <c r="BY21" i="13"/>
  <c r="CA21" i="13" s="1"/>
  <c r="CB21" i="13" s="1"/>
  <c r="CC21" i="13" s="1"/>
  <c r="CJ21" i="13" s="1"/>
  <c r="BP21" i="13"/>
  <c r="BQ21" i="13" s="1"/>
  <c r="BD21" i="13"/>
  <c r="BC21" i="13"/>
  <c r="BA21" i="13"/>
  <c r="Z21" i="13"/>
  <c r="HH20" i="13"/>
  <c r="HG20" i="13"/>
  <c r="HF20" i="13"/>
  <c r="HC20" i="13"/>
  <c r="GA20" i="13"/>
  <c r="FW20" i="13"/>
  <c r="FU20" i="13"/>
  <c r="FR20" i="13"/>
  <c r="EN20" i="13" s="1"/>
  <c r="FN20" i="13"/>
  <c r="ER20" i="13"/>
  <c r="EO20" i="13"/>
  <c r="DP20" i="13"/>
  <c r="DI20" i="13"/>
  <c r="CP20" i="13"/>
  <c r="CO20" i="13"/>
  <c r="CH20" i="13"/>
  <c r="X20" i="13" s="1"/>
  <c r="AA20" i="13" s="1"/>
  <c r="BZ20" i="13"/>
  <c r="BY20" i="13"/>
  <c r="BQ20" i="13"/>
  <c r="BP20" i="13"/>
  <c r="BK20" i="13"/>
  <c r="BI20" i="13"/>
  <c r="BL20" i="13" s="1"/>
  <c r="BC20" i="13"/>
  <c r="BD20" i="13" s="1"/>
  <c r="BA20" i="13"/>
  <c r="AF20" i="13"/>
  <c r="AD20" i="13"/>
  <c r="Z20" i="13"/>
  <c r="HH19" i="13"/>
  <c r="HG19" i="13"/>
  <c r="HF19" i="13"/>
  <c r="HC19" i="13"/>
  <c r="GA19" i="13"/>
  <c r="FW19" i="13"/>
  <c r="CP19" i="13" s="1"/>
  <c r="FU19" i="13"/>
  <c r="CO19" i="13" s="1"/>
  <c r="FR19" i="13"/>
  <c r="FN19" i="13"/>
  <c r="DI19" i="13" s="1"/>
  <c r="ER19" i="13"/>
  <c r="EO19" i="13"/>
  <c r="EN19" i="13"/>
  <c r="DP19" i="13"/>
  <c r="CH19" i="13"/>
  <c r="CB19" i="13"/>
  <c r="CC19" i="13" s="1"/>
  <c r="CJ19" i="13" s="1"/>
  <c r="CA19" i="13"/>
  <c r="BZ19" i="13"/>
  <c r="BY19" i="13"/>
  <c r="BP19" i="13"/>
  <c r="BQ19" i="13" s="1"/>
  <c r="BK19" i="13"/>
  <c r="BL19" i="13" s="1"/>
  <c r="BI19" i="13"/>
  <c r="BD19" i="13"/>
  <c r="BC19" i="13"/>
  <c r="BA19" i="13"/>
  <c r="AF19" i="13"/>
  <c r="AD19" i="13"/>
  <c r="Z19" i="13"/>
  <c r="X19" i="13"/>
  <c r="AA19" i="13" s="1"/>
  <c r="HH18" i="13"/>
  <c r="HG18" i="13"/>
  <c r="HF18" i="13"/>
  <c r="HC18" i="13"/>
  <c r="GA18" i="13"/>
  <c r="FW18" i="13"/>
  <c r="CP18" i="13" s="1"/>
  <c r="FU18" i="13"/>
  <c r="CO18" i="13" s="1"/>
  <c r="FR18" i="13"/>
  <c r="EN18" i="13" s="1"/>
  <c r="FN18" i="13"/>
  <c r="DI18" i="13" s="1"/>
  <c r="ER18" i="13"/>
  <c r="EO18" i="13"/>
  <c r="DP18" i="13"/>
  <c r="CH18" i="13"/>
  <c r="BK18" i="13" s="1"/>
  <c r="BZ18" i="13"/>
  <c r="BY18" i="13"/>
  <c r="CA18" i="13" s="1"/>
  <c r="BQ18" i="13"/>
  <c r="BP18" i="13"/>
  <c r="BD18" i="13"/>
  <c r="BC18" i="13"/>
  <c r="BA18" i="13"/>
  <c r="AF18" i="13"/>
  <c r="AD18" i="13"/>
  <c r="X18" i="13"/>
  <c r="HH17" i="13"/>
  <c r="HG17" i="13"/>
  <c r="HF17" i="13"/>
  <c r="HC17" i="13"/>
  <c r="GA17" i="13"/>
  <c r="FW17" i="13"/>
  <c r="FU17" i="13"/>
  <c r="FR17" i="13"/>
  <c r="FN17" i="13"/>
  <c r="ER17" i="13"/>
  <c r="EO17" i="13"/>
  <c r="EN17" i="13"/>
  <c r="DP17" i="13"/>
  <c r="DI17" i="13"/>
  <c r="CP17" i="13"/>
  <c r="CO17" i="13"/>
  <c r="CH17" i="13"/>
  <c r="BK17" i="13" s="1"/>
  <c r="BZ17" i="13"/>
  <c r="BY17" i="13"/>
  <c r="CA17" i="13" s="1"/>
  <c r="CB17" i="13" s="1"/>
  <c r="CC17" i="13" s="1"/>
  <c r="CJ17" i="13" s="1"/>
  <c r="BP17" i="13"/>
  <c r="BQ17" i="13" s="1"/>
  <c r="BD17" i="13"/>
  <c r="BC17" i="13"/>
  <c r="BA17" i="13"/>
  <c r="Z17" i="13"/>
  <c r="HH16" i="13"/>
  <c r="HG16" i="13"/>
  <c r="HF16" i="13"/>
  <c r="HC16" i="13"/>
  <c r="GZ16" i="13"/>
  <c r="GA16" i="13"/>
  <c r="FW16" i="13"/>
  <c r="FU16" i="13"/>
  <c r="FR16" i="13"/>
  <c r="FN16" i="13"/>
  <c r="ER16" i="13"/>
  <c r="EO16" i="13"/>
  <c r="EN16" i="13"/>
  <c r="DP16" i="13"/>
  <c r="CP16" i="13"/>
  <c r="CO16" i="13"/>
  <c r="CJ16" i="13"/>
  <c r="CH16" i="13"/>
  <c r="BZ16" i="13"/>
  <c r="BY16" i="13"/>
  <c r="BQ16" i="13"/>
  <c r="BP16" i="13"/>
  <c r="BL16" i="13"/>
  <c r="BI16" i="13"/>
  <c r="BD16" i="13"/>
  <c r="BA16" i="13"/>
  <c r="AF16" i="13"/>
  <c r="AD16" i="13"/>
  <c r="AA16" i="13"/>
  <c r="Z16" i="13"/>
  <c r="X16" i="13"/>
  <c r="HH15" i="13"/>
  <c r="HG15" i="13"/>
  <c r="HF15" i="13"/>
  <c r="HC15" i="13"/>
  <c r="GX15" i="13"/>
  <c r="GA15" i="13"/>
  <c r="FW15" i="13"/>
  <c r="CP15" i="13" s="1"/>
  <c r="FU15" i="13"/>
  <c r="CO15" i="13" s="1"/>
  <c r="FR15" i="13"/>
  <c r="FN15" i="13"/>
  <c r="DI15" i="13" s="1"/>
  <c r="ER15" i="13"/>
  <c r="EO15" i="13"/>
  <c r="EN15" i="13"/>
  <c r="DP15" i="13"/>
  <c r="CH15" i="13"/>
  <c r="Z15" i="13" s="1"/>
  <c r="CA15" i="13"/>
  <c r="BZ15" i="13"/>
  <c r="CB15" i="13" s="1"/>
  <c r="BY15" i="13"/>
  <c r="CC15" i="13" s="1"/>
  <c r="CJ15" i="13" s="1"/>
  <c r="BP15" i="13"/>
  <c r="BQ15" i="13" s="1"/>
  <c r="BK15" i="13"/>
  <c r="BL15" i="13" s="1"/>
  <c r="BI15" i="13"/>
  <c r="BD15" i="13"/>
  <c r="BC15" i="13"/>
  <c r="BA15" i="13"/>
  <c r="AF15" i="13"/>
  <c r="AD15" i="13"/>
  <c r="X15" i="13"/>
  <c r="AA15" i="13" s="1"/>
  <c r="HH14" i="13"/>
  <c r="HG14" i="13"/>
  <c r="HF14" i="13"/>
  <c r="HC14" i="13"/>
  <c r="GA14" i="13"/>
  <c r="FW14" i="13"/>
  <c r="CP14" i="13" s="1"/>
  <c r="FU14" i="13"/>
  <c r="CO14" i="13" s="1"/>
  <c r="FN14" i="13"/>
  <c r="EO14" i="13"/>
  <c r="EN14" i="13"/>
  <c r="DP14" i="13"/>
  <c r="CH14" i="13"/>
  <c r="CB14" i="13"/>
  <c r="CA14" i="13"/>
  <c r="BZ14" i="13"/>
  <c r="BY14" i="13"/>
  <c r="CC14" i="13" s="1"/>
  <c r="CJ14" i="13" s="1"/>
  <c r="BP14" i="13"/>
  <c r="BQ14" i="13" s="1"/>
  <c r="BK14" i="13"/>
  <c r="BL14" i="13" s="1"/>
  <c r="BI14" i="13"/>
  <c r="BD14" i="13"/>
  <c r="BA14" i="13"/>
  <c r="AF14" i="13"/>
  <c r="AD14" i="13"/>
  <c r="Z14" i="13"/>
  <c r="X14" i="13"/>
  <c r="AA14" i="13" s="1"/>
  <c r="HH13" i="13"/>
  <c r="HG13" i="13"/>
  <c r="HF13" i="13"/>
  <c r="HC13" i="13"/>
  <c r="GA13" i="13"/>
  <c r="FW13" i="13"/>
  <c r="CP13" i="13" s="1"/>
  <c r="FU13" i="13"/>
  <c r="CO13" i="13" s="1"/>
  <c r="FR13" i="13"/>
  <c r="EN13" i="13" s="1"/>
  <c r="FN13" i="13"/>
  <c r="DI13" i="13" s="1"/>
  <c r="ER13" i="13"/>
  <c r="EO13" i="13"/>
  <c r="DP13" i="13"/>
  <c r="CH13" i="13"/>
  <c r="BK13" i="13" s="1"/>
  <c r="BZ13" i="13"/>
  <c r="BY13" i="13"/>
  <c r="BQ13" i="13"/>
  <c r="BP13" i="13"/>
  <c r="BC13" i="13"/>
  <c r="BD13" i="13" s="1"/>
  <c r="BA13" i="13"/>
  <c r="AD13" i="13"/>
  <c r="HH12" i="13"/>
  <c r="HG12" i="13"/>
  <c r="HF12" i="13"/>
  <c r="HC12" i="13"/>
  <c r="GA12" i="13"/>
  <c r="FW12" i="13"/>
  <c r="FU12" i="13"/>
  <c r="FR12" i="13"/>
  <c r="EN12" i="13" s="1"/>
  <c r="FN12" i="13"/>
  <c r="EO12" i="13"/>
  <c r="DP12" i="13"/>
  <c r="CP12" i="13"/>
  <c r="CO12" i="13"/>
  <c r="CJ12" i="13"/>
  <c r="CH12" i="13"/>
  <c r="CA12" i="13"/>
  <c r="BZ12" i="13"/>
  <c r="CB12" i="13" s="1"/>
  <c r="BY12" i="13"/>
  <c r="CC12" i="13" s="1"/>
  <c r="BQ12" i="13"/>
  <c r="BP12" i="13"/>
  <c r="BL12" i="13"/>
  <c r="BI12" i="13"/>
  <c r="BD12" i="13"/>
  <c r="BA12" i="13"/>
  <c r="AF12" i="13"/>
  <c r="AD12" i="13"/>
  <c r="AA12" i="13"/>
  <c r="Z12" i="13"/>
  <c r="X12" i="13"/>
  <c r="HH11" i="13"/>
  <c r="HG11" i="13"/>
  <c r="HG4" i="13" s="1"/>
  <c r="HF11" i="13"/>
  <c r="HF4" i="13" s="1"/>
  <c r="HC11" i="13"/>
  <c r="GA11" i="13"/>
  <c r="FW11" i="13"/>
  <c r="FU11" i="13"/>
  <c r="FR11" i="13"/>
  <c r="EN11" i="13" s="1"/>
  <c r="FN11" i="13"/>
  <c r="ER11" i="13"/>
  <c r="EO11" i="13"/>
  <c r="DP11" i="13"/>
  <c r="DI11" i="13"/>
  <c r="CP11" i="13"/>
  <c r="CO11" i="13"/>
  <c r="CH11" i="13"/>
  <c r="BQ11" i="13" s="1"/>
  <c r="CB11" i="13"/>
  <c r="CC11" i="13" s="1"/>
  <c r="CJ11" i="13" s="1"/>
  <c r="CA11" i="13"/>
  <c r="BZ11" i="13"/>
  <c r="BY11" i="13"/>
  <c r="BP11" i="13"/>
  <c r="BD11" i="13"/>
  <c r="BC11" i="13"/>
  <c r="BA11" i="13"/>
  <c r="Z11" i="13"/>
  <c r="X11" i="13"/>
  <c r="AA11" i="13" s="1"/>
  <c r="HI10" i="13"/>
  <c r="HH10" i="13"/>
  <c r="HG10" i="13"/>
  <c r="HF10" i="13"/>
  <c r="HC10" i="13"/>
  <c r="GA10" i="13"/>
  <c r="FW10" i="13"/>
  <c r="FU10" i="13"/>
  <c r="FR10" i="13"/>
  <c r="EN10" i="13" s="1"/>
  <c r="FN10" i="13"/>
  <c r="ER10" i="13"/>
  <c r="EO10" i="13"/>
  <c r="DP10" i="13"/>
  <c r="DI10" i="13"/>
  <c r="CP10" i="13"/>
  <c r="CO10" i="13"/>
  <c r="CH10" i="13"/>
  <c r="Z10" i="13" s="1"/>
  <c r="BZ10" i="13"/>
  <c r="BY10" i="13"/>
  <c r="BQ10" i="13"/>
  <c r="BP10" i="13"/>
  <c r="BK10" i="13"/>
  <c r="BI10" i="13"/>
  <c r="BL10" i="13" s="1"/>
  <c r="BC10" i="13"/>
  <c r="BD10" i="13" s="1"/>
  <c r="BA10" i="13"/>
  <c r="AF10" i="13"/>
  <c r="AD10" i="13"/>
  <c r="HH9" i="13"/>
  <c r="HG9" i="13"/>
  <c r="HF9" i="13"/>
  <c r="HC9" i="13"/>
  <c r="HC4" i="13" s="1"/>
  <c r="GA9" i="13"/>
  <c r="FW9" i="13"/>
  <c r="CP9" i="13" s="1"/>
  <c r="FU9" i="13"/>
  <c r="CO9" i="13" s="1"/>
  <c r="FN9" i="13"/>
  <c r="DI9" i="13" s="1"/>
  <c r="ER9" i="13"/>
  <c r="EO9" i="13"/>
  <c r="EN9" i="13"/>
  <c r="DP9" i="13"/>
  <c r="CH9" i="13"/>
  <c r="Z9" i="13" s="1"/>
  <c r="CA9" i="13"/>
  <c r="BZ9" i="13"/>
  <c r="CB9" i="13" s="1"/>
  <c r="BY9" i="13"/>
  <c r="CC9" i="13" s="1"/>
  <c r="CJ9" i="13" s="1"/>
  <c r="BP9" i="13"/>
  <c r="BQ9" i="13" s="1"/>
  <c r="BK9" i="13"/>
  <c r="BL9" i="13" s="1"/>
  <c r="BI9" i="13"/>
  <c r="BD9" i="13"/>
  <c r="BC9" i="13"/>
  <c r="BA9" i="13"/>
  <c r="AF9" i="13"/>
  <c r="AD9" i="13"/>
  <c r="X9" i="13"/>
  <c r="HH8" i="13"/>
  <c r="HJ7" i="13" s="1"/>
  <c r="GA8" i="13"/>
  <c r="FW8" i="13"/>
  <c r="FU8" i="13"/>
  <c r="FN8" i="13"/>
  <c r="EO8" i="13"/>
  <c r="CH8" i="13"/>
  <c r="BK8" i="13" s="1"/>
  <c r="CC8" i="13"/>
  <c r="CB8" i="13"/>
  <c r="CA8" i="13"/>
  <c r="BZ8" i="13"/>
  <c r="HH7" i="13"/>
  <c r="GA7" i="13"/>
  <c r="FW7" i="13"/>
  <c r="CP7" i="13" s="1"/>
  <c r="FU7" i="13"/>
  <c r="CO7" i="13" s="1"/>
  <c r="FN7" i="13"/>
  <c r="EO7" i="13"/>
  <c r="EN7" i="13"/>
  <c r="CJ7" i="13"/>
  <c r="CH7" i="13"/>
  <c r="CB7" i="13"/>
  <c r="CA7" i="13"/>
  <c r="BZ7" i="13"/>
  <c r="BY7" i="13"/>
  <c r="CC7" i="13" s="1"/>
  <c r="BL7" i="13"/>
  <c r="BI7" i="13"/>
  <c r="AF7" i="13"/>
  <c r="AD7" i="13"/>
  <c r="AA7" i="13"/>
  <c r="Z7" i="13"/>
  <c r="X7" i="13"/>
  <c r="HH6" i="13"/>
  <c r="GA6" i="13"/>
  <c r="FW6" i="13"/>
  <c r="FU6" i="13"/>
  <c r="FN6" i="13"/>
  <c r="EO6" i="13"/>
  <c r="EN6" i="13"/>
  <c r="CP6" i="13"/>
  <c r="CO6" i="13"/>
  <c r="CJ6" i="13"/>
  <c r="CH6" i="13"/>
  <c r="BZ6" i="13"/>
  <c r="BY6" i="13"/>
  <c r="CA6" i="13" s="1"/>
  <c r="CB6" i="13" s="1"/>
  <c r="CC6" i="13" s="1"/>
  <c r="BL6" i="13"/>
  <c r="BI6" i="13"/>
  <c r="AF6" i="13"/>
  <c r="AD6" i="13"/>
  <c r="AA6" i="13"/>
  <c r="Z6" i="13"/>
  <c r="X6" i="13"/>
  <c r="BK5" i="13"/>
  <c r="BI5" i="13"/>
  <c r="BD5" i="13"/>
  <c r="AF5" i="13"/>
  <c r="AD5" i="13"/>
  <c r="Z5" i="13"/>
  <c r="X5" i="13"/>
  <c r="HE4" i="13"/>
  <c r="HD4" i="13"/>
  <c r="BD4" i="13"/>
  <c r="DC36" i="12"/>
  <c r="CA34" i="12"/>
  <c r="CB34" i="12" s="1"/>
  <c r="CC34" i="12" s="1"/>
  <c r="CA33" i="12"/>
  <c r="CB33" i="12" s="1"/>
  <c r="CC33" i="12" s="1"/>
  <c r="DR32" i="12"/>
  <c r="DD32" i="12"/>
  <c r="CA32" i="12"/>
  <c r="CB32" i="12" s="1"/>
  <c r="CC32" i="12" s="1"/>
  <c r="DR31" i="12"/>
  <c r="CA31" i="12"/>
  <c r="CB31" i="12" s="1"/>
  <c r="CC31" i="12" s="1"/>
  <c r="HJ30" i="12"/>
  <c r="HI30" i="12"/>
  <c r="HH30" i="12"/>
  <c r="HE30" i="12"/>
  <c r="GC30" i="12"/>
  <c r="FY30" i="12"/>
  <c r="CP30" i="12" s="1"/>
  <c r="FW30" i="12"/>
  <c r="CO30" i="12" s="1"/>
  <c r="FP30" i="12"/>
  <c r="DK30" i="12" s="1"/>
  <c r="ET30" i="12"/>
  <c r="EQ30" i="12"/>
  <c r="EP30" i="12"/>
  <c r="DR30" i="12"/>
  <c r="CH30" i="12"/>
  <c r="BK30" i="12" s="1"/>
  <c r="BZ30" i="12"/>
  <c r="BY30" i="12"/>
  <c r="CA30" i="12" s="1"/>
  <c r="BP30" i="12"/>
  <c r="BD30" i="12"/>
  <c r="BC30" i="12"/>
  <c r="BA30" i="12"/>
  <c r="HJ29" i="12"/>
  <c r="HI29" i="12"/>
  <c r="HH29" i="12"/>
  <c r="HE29" i="12"/>
  <c r="GC29" i="12"/>
  <c r="FY29" i="12"/>
  <c r="CP29" i="12" s="1"/>
  <c r="FW29" i="12"/>
  <c r="CO29" i="12" s="1"/>
  <c r="FP29" i="12"/>
  <c r="DK29" i="12" s="1"/>
  <c r="ET29" i="12"/>
  <c r="EQ29" i="12"/>
  <c r="EP29" i="12"/>
  <c r="DR29" i="12"/>
  <c r="CH29" i="12"/>
  <c r="X29" i="12" s="1"/>
  <c r="BZ29" i="12"/>
  <c r="BY29" i="12"/>
  <c r="CA29" i="12" s="1"/>
  <c r="BP29" i="12"/>
  <c r="BC29" i="12"/>
  <c r="BD29" i="12" s="1"/>
  <c r="BA29" i="12"/>
  <c r="HJ28" i="12"/>
  <c r="HI28" i="12"/>
  <c r="HH28" i="12"/>
  <c r="HE28" i="12"/>
  <c r="GC28" i="12"/>
  <c r="FY28" i="12"/>
  <c r="CP28" i="12" s="1"/>
  <c r="FW28" i="12"/>
  <c r="CO28" i="12" s="1"/>
  <c r="FT28" i="12"/>
  <c r="EP28" i="12" s="1"/>
  <c r="FP28" i="12"/>
  <c r="DK28" i="12" s="1"/>
  <c r="ET28" i="12"/>
  <c r="EQ28" i="12"/>
  <c r="DR28" i="12"/>
  <c r="CH28" i="12"/>
  <c r="X28" i="12" s="1"/>
  <c r="BZ28" i="12"/>
  <c r="BY28" i="12"/>
  <c r="CA28" i="12" s="1"/>
  <c r="BP28" i="12"/>
  <c r="BC28" i="12"/>
  <c r="BD28" i="12" s="1"/>
  <c r="BA28" i="12"/>
  <c r="HJ27" i="12"/>
  <c r="HI27" i="12"/>
  <c r="HH27" i="12"/>
  <c r="HE27" i="12"/>
  <c r="GC27" i="12"/>
  <c r="FY27" i="12"/>
  <c r="CP27" i="12" s="1"/>
  <c r="FW27" i="12"/>
  <c r="CO27" i="12" s="1"/>
  <c r="FP27" i="12"/>
  <c r="DK27" i="12" s="1"/>
  <c r="ET27" i="12"/>
  <c r="EQ27" i="12"/>
  <c r="EP27" i="12"/>
  <c r="DR27" i="12"/>
  <c r="CH27" i="12"/>
  <c r="Z27" i="12" s="1"/>
  <c r="BZ27" i="12"/>
  <c r="BY27" i="12"/>
  <c r="BP27" i="12"/>
  <c r="BC27" i="12"/>
  <c r="BD27" i="12" s="1"/>
  <c r="BA27" i="12"/>
  <c r="HJ26" i="12"/>
  <c r="HI26" i="12"/>
  <c r="HH26" i="12"/>
  <c r="HE26" i="12"/>
  <c r="GC26" i="12"/>
  <c r="FY26" i="12"/>
  <c r="CP26" i="12" s="1"/>
  <c r="FW26" i="12"/>
  <c r="CO26" i="12" s="1"/>
  <c r="FP26" i="12"/>
  <c r="DK26" i="12" s="1"/>
  <c r="ET26" i="12"/>
  <c r="EQ26" i="12"/>
  <c r="EP26" i="12"/>
  <c r="DR26" i="12"/>
  <c r="CH26" i="12"/>
  <c r="Z26" i="12" s="1"/>
  <c r="BZ26" i="12"/>
  <c r="BY26" i="12"/>
  <c r="CA26" i="12" s="1"/>
  <c r="BP26" i="12"/>
  <c r="BC26" i="12"/>
  <c r="BD26" i="12" s="1"/>
  <c r="BA26" i="12"/>
  <c r="HJ25" i="12"/>
  <c r="HI25" i="12"/>
  <c r="HH25" i="12"/>
  <c r="HE25" i="12"/>
  <c r="GC25" i="12"/>
  <c r="FY25" i="12"/>
  <c r="CP25" i="12" s="1"/>
  <c r="FW25" i="12"/>
  <c r="CO25" i="12" s="1"/>
  <c r="FT25" i="12"/>
  <c r="EP25" i="12" s="1"/>
  <c r="FP25" i="12"/>
  <c r="DK25" i="12" s="1"/>
  <c r="ET25" i="12"/>
  <c r="EQ25" i="12"/>
  <c r="DR25" i="12"/>
  <c r="CH25" i="12"/>
  <c r="BK25" i="12" s="1"/>
  <c r="BZ25" i="12"/>
  <c r="BY25" i="12"/>
  <c r="CA25" i="12" s="1"/>
  <c r="BP25" i="12"/>
  <c r="BC25" i="12"/>
  <c r="BD25" i="12" s="1"/>
  <c r="BA25" i="12"/>
  <c r="HJ24" i="12"/>
  <c r="HI24" i="12"/>
  <c r="HH24" i="12"/>
  <c r="HE24" i="12"/>
  <c r="GC24" i="12"/>
  <c r="FY24" i="12"/>
  <c r="CP24" i="12" s="1"/>
  <c r="FW24" i="12"/>
  <c r="CO24" i="12" s="1"/>
  <c r="FP24" i="12"/>
  <c r="DK24" i="12" s="1"/>
  <c r="EQ24" i="12"/>
  <c r="EP24" i="12"/>
  <c r="DR24" i="12"/>
  <c r="CH24" i="12"/>
  <c r="Z24" i="12" s="1"/>
  <c r="BZ24" i="12"/>
  <c r="BY24" i="12"/>
  <c r="BP24" i="12"/>
  <c r="BC24" i="12"/>
  <c r="BD24" i="12" s="1"/>
  <c r="BA24" i="12"/>
  <c r="HJ23" i="12"/>
  <c r="HI23" i="12"/>
  <c r="HH23" i="12"/>
  <c r="HE23" i="12"/>
  <c r="GC23" i="12"/>
  <c r="FY23" i="12"/>
  <c r="CP23" i="12" s="1"/>
  <c r="FW23" i="12"/>
  <c r="CO23" i="12" s="1"/>
  <c r="FP23" i="12"/>
  <c r="DK23" i="12" s="1"/>
  <c r="EQ23" i="12"/>
  <c r="EP23" i="12"/>
  <c r="DR23" i="12"/>
  <c r="CH23" i="12"/>
  <c r="Z23" i="12" s="1"/>
  <c r="BZ23" i="12"/>
  <c r="BY23" i="12"/>
  <c r="CA23" i="12" s="1"/>
  <c r="BP23" i="12"/>
  <c r="BC23" i="12"/>
  <c r="BD23" i="12" s="1"/>
  <c r="BA23" i="12"/>
  <c r="HJ22" i="12"/>
  <c r="HI22" i="12"/>
  <c r="HH22" i="12"/>
  <c r="HE22" i="12"/>
  <c r="GC22" i="12"/>
  <c r="FY22" i="12"/>
  <c r="CP22" i="12" s="1"/>
  <c r="FW22" i="12"/>
  <c r="CO22" i="12" s="1"/>
  <c r="FT22" i="12"/>
  <c r="EP22" i="12" s="1"/>
  <c r="FP22" i="12"/>
  <c r="DK22" i="12" s="1"/>
  <c r="ET22" i="12"/>
  <c r="EQ22" i="12"/>
  <c r="DR22" i="12"/>
  <c r="CH22" i="12"/>
  <c r="Z22" i="12" s="1"/>
  <c r="BZ22" i="12"/>
  <c r="BY22" i="12"/>
  <c r="CA22" i="12" s="1"/>
  <c r="BP22" i="12"/>
  <c r="BQ22" i="12" s="1"/>
  <c r="BK22" i="12"/>
  <c r="BC22" i="12"/>
  <c r="BD22" i="12" s="1"/>
  <c r="BA22" i="12"/>
  <c r="HJ21" i="12"/>
  <c r="HI21" i="12"/>
  <c r="HH21" i="12"/>
  <c r="HE21" i="12"/>
  <c r="GC21" i="12"/>
  <c r="FY21" i="12"/>
  <c r="CP21" i="12" s="1"/>
  <c r="FW21" i="12"/>
  <c r="CO21" i="12" s="1"/>
  <c r="FT21" i="12"/>
  <c r="EP21" i="12" s="1"/>
  <c r="FP21" i="12"/>
  <c r="DK21" i="12" s="1"/>
  <c r="ET21" i="12"/>
  <c r="EQ21" i="12"/>
  <c r="DR21" i="12"/>
  <c r="CH21" i="12"/>
  <c r="Z21" i="12" s="1"/>
  <c r="BZ21" i="12"/>
  <c r="BY21" i="12"/>
  <c r="CA21" i="12" s="1"/>
  <c r="BP21" i="12"/>
  <c r="BC21" i="12"/>
  <c r="BD21" i="12" s="1"/>
  <c r="BA21" i="12"/>
  <c r="HJ20" i="12"/>
  <c r="HI20" i="12"/>
  <c r="HH20" i="12"/>
  <c r="HE20" i="12"/>
  <c r="GC20" i="12"/>
  <c r="FY20" i="12"/>
  <c r="CP20" i="12" s="1"/>
  <c r="FW20" i="12"/>
  <c r="CO20" i="12" s="1"/>
  <c r="FT20" i="12"/>
  <c r="EP20" i="12" s="1"/>
  <c r="FP20" i="12"/>
  <c r="DK20" i="12" s="1"/>
  <c r="ET20" i="12"/>
  <c r="EQ20" i="12"/>
  <c r="DR20" i="12"/>
  <c r="CH20" i="12"/>
  <c r="BK20" i="12" s="1"/>
  <c r="BZ20" i="12"/>
  <c r="BY20" i="12"/>
  <c r="BP20" i="12"/>
  <c r="BC20" i="12"/>
  <c r="BD20" i="12" s="1"/>
  <c r="BA20" i="12"/>
  <c r="HJ19" i="12"/>
  <c r="HI19" i="12"/>
  <c r="HH19" i="12"/>
  <c r="HE19" i="12"/>
  <c r="GC19" i="12"/>
  <c r="FY19" i="12"/>
  <c r="FW19" i="12"/>
  <c r="CO19" i="12" s="1"/>
  <c r="FT19" i="12"/>
  <c r="EP19" i="12" s="1"/>
  <c r="FP19" i="12"/>
  <c r="DK19" i="12" s="1"/>
  <c r="ET19" i="12"/>
  <c r="EQ19" i="12"/>
  <c r="DR19" i="12"/>
  <c r="CP19" i="12"/>
  <c r="CH19" i="12"/>
  <c r="Z19" i="12" s="1"/>
  <c r="BZ19" i="12"/>
  <c r="BY19" i="12"/>
  <c r="CA19" i="12" s="1"/>
  <c r="CB19" i="12" s="1"/>
  <c r="CC19" i="12" s="1"/>
  <c r="CJ19" i="12" s="1"/>
  <c r="BP19" i="12"/>
  <c r="BC19" i="12"/>
  <c r="BD19" i="12" s="1"/>
  <c r="BA19" i="12"/>
  <c r="HJ18" i="12"/>
  <c r="HI18" i="12"/>
  <c r="HH18" i="12"/>
  <c r="HE18" i="12"/>
  <c r="GC18" i="12"/>
  <c r="FY18" i="12"/>
  <c r="FW18" i="12"/>
  <c r="CO18" i="12" s="1"/>
  <c r="FT18" i="12"/>
  <c r="EP18" i="12" s="1"/>
  <c r="FP18" i="12"/>
  <c r="DK18" i="12" s="1"/>
  <c r="ET18" i="12"/>
  <c r="EQ18" i="12"/>
  <c r="DR18" i="12"/>
  <c r="CP18" i="12"/>
  <c r="CH18" i="12"/>
  <c r="Z18" i="12" s="1"/>
  <c r="BZ18" i="12"/>
  <c r="BY18" i="12"/>
  <c r="BP18" i="12"/>
  <c r="BC18" i="12"/>
  <c r="BD18" i="12" s="1"/>
  <c r="BA18" i="12"/>
  <c r="HJ17" i="12"/>
  <c r="HI17" i="12"/>
  <c r="HH17" i="12"/>
  <c r="HE17" i="12"/>
  <c r="GC17" i="12"/>
  <c r="FY17" i="12"/>
  <c r="CP17" i="12" s="1"/>
  <c r="FW17" i="12"/>
  <c r="CO17" i="12" s="1"/>
  <c r="FT17" i="12"/>
  <c r="EP17" i="12" s="1"/>
  <c r="FP17" i="12"/>
  <c r="DK17" i="12" s="1"/>
  <c r="ET17" i="12"/>
  <c r="EQ17" i="12"/>
  <c r="DR17" i="12"/>
  <c r="CH17" i="12"/>
  <c r="Z17" i="12" s="1"/>
  <c r="BZ17" i="12"/>
  <c r="BY17" i="12"/>
  <c r="BP17" i="12"/>
  <c r="BQ17" i="12" s="1"/>
  <c r="BC17" i="12"/>
  <c r="BD17" i="12" s="1"/>
  <c r="BA17" i="12"/>
  <c r="AD17" i="12"/>
  <c r="HJ16" i="12"/>
  <c r="HI16" i="12"/>
  <c r="HH16" i="12"/>
  <c r="HE16" i="12"/>
  <c r="HB16" i="12"/>
  <c r="GC16" i="12"/>
  <c r="FY16" i="12"/>
  <c r="CP16" i="12" s="1"/>
  <c r="FW16" i="12"/>
  <c r="CO16" i="12" s="1"/>
  <c r="FT16" i="12"/>
  <c r="EP16" i="12" s="1"/>
  <c r="FP16" i="12"/>
  <c r="ET16" i="12"/>
  <c r="EQ16" i="12"/>
  <c r="DR16" i="12"/>
  <c r="CJ16" i="12"/>
  <c r="CH16" i="12"/>
  <c r="BZ16" i="12"/>
  <c r="BY16" i="12"/>
  <c r="CA16" i="12" s="1"/>
  <c r="BQ16" i="12"/>
  <c r="BP16" i="12"/>
  <c r="BL16" i="12"/>
  <c r="BI16" i="12"/>
  <c r="BD16" i="12"/>
  <c r="BA16" i="12"/>
  <c r="AF16" i="12"/>
  <c r="AD16" i="12"/>
  <c r="Z16" i="12"/>
  <c r="X16" i="12"/>
  <c r="AA16" i="12" s="1"/>
  <c r="HJ15" i="12"/>
  <c r="HI15" i="12"/>
  <c r="HH15" i="12"/>
  <c r="HE15" i="12"/>
  <c r="GZ15" i="12"/>
  <c r="GC15" i="12"/>
  <c r="FY15" i="12"/>
  <c r="CP15" i="12" s="1"/>
  <c r="FW15" i="12"/>
  <c r="CO15" i="12" s="1"/>
  <c r="FT15" i="12"/>
  <c r="EP15" i="12" s="1"/>
  <c r="FP15" i="12"/>
  <c r="DK15" i="12" s="1"/>
  <c r="ET15" i="12"/>
  <c r="EQ15" i="12"/>
  <c r="DR15" i="12"/>
  <c r="CH15" i="12"/>
  <c r="Z15" i="12" s="1"/>
  <c r="BZ15" i="12"/>
  <c r="BY15" i="12"/>
  <c r="BP15" i="12"/>
  <c r="BC15" i="12"/>
  <c r="BD15" i="12" s="1"/>
  <c r="BA15" i="12"/>
  <c r="HJ14" i="12"/>
  <c r="HI14" i="12"/>
  <c r="HH14" i="12"/>
  <c r="HE14" i="12"/>
  <c r="GC14" i="12"/>
  <c r="FY14" i="12"/>
  <c r="CP14" i="12" s="1"/>
  <c r="FW14" i="12"/>
  <c r="FP14" i="12"/>
  <c r="EQ14" i="12"/>
  <c r="EP14" i="12"/>
  <c r="DR14" i="12"/>
  <c r="CO14" i="12"/>
  <c r="CH14" i="12"/>
  <c r="X14" i="12" s="1"/>
  <c r="BZ14" i="12"/>
  <c r="BY14" i="12"/>
  <c r="CA14" i="12" s="1"/>
  <c r="BP14" i="12"/>
  <c r="BD14" i="12"/>
  <c r="BA14" i="12"/>
  <c r="HJ13" i="12"/>
  <c r="HI13" i="12"/>
  <c r="HH13" i="12"/>
  <c r="HE13" i="12"/>
  <c r="GC13" i="12"/>
  <c r="FY13" i="12"/>
  <c r="CP13" i="12" s="1"/>
  <c r="FW13" i="12"/>
  <c r="CO13" i="12" s="1"/>
  <c r="FT13" i="12"/>
  <c r="EP13" i="12" s="1"/>
  <c r="FP13" i="12"/>
  <c r="DK13" i="12" s="1"/>
  <c r="ET13" i="12"/>
  <c r="EQ13" i="12"/>
  <c r="DR13" i="12"/>
  <c r="CH13" i="12"/>
  <c r="AD13" i="12" s="1"/>
  <c r="BZ13" i="12"/>
  <c r="BY13" i="12"/>
  <c r="BP13" i="12"/>
  <c r="BC13" i="12"/>
  <c r="BD13" i="12" s="1"/>
  <c r="BA13" i="12"/>
  <c r="HJ12" i="12"/>
  <c r="HI12" i="12"/>
  <c r="HH12" i="12"/>
  <c r="HE12" i="12"/>
  <c r="GC12" i="12"/>
  <c r="FY12" i="12"/>
  <c r="CP12" i="12" s="1"/>
  <c r="FW12" i="12"/>
  <c r="CO12" i="12" s="1"/>
  <c r="FT12" i="12"/>
  <c r="EP12" i="12" s="1"/>
  <c r="FP12" i="12"/>
  <c r="EQ12" i="12"/>
  <c r="DR12" i="12"/>
  <c r="CJ12" i="12"/>
  <c r="CH12" i="12"/>
  <c r="BZ12" i="12"/>
  <c r="BY12" i="12"/>
  <c r="CA12" i="12" s="1"/>
  <c r="BQ12" i="12"/>
  <c r="BP12" i="12"/>
  <c r="BL12" i="12"/>
  <c r="BI12" i="12"/>
  <c r="BD12" i="12"/>
  <c r="BA12" i="12"/>
  <c r="AF12" i="12"/>
  <c r="AD12" i="12"/>
  <c r="Z12" i="12"/>
  <c r="X12" i="12"/>
  <c r="HJ11" i="12"/>
  <c r="HI11" i="12"/>
  <c r="HH11" i="12"/>
  <c r="HE11" i="12"/>
  <c r="GC11" i="12"/>
  <c r="FY11" i="12"/>
  <c r="CP11" i="12" s="1"/>
  <c r="FW11" i="12"/>
  <c r="CO11" i="12" s="1"/>
  <c r="FT11" i="12"/>
  <c r="EP11" i="12" s="1"/>
  <c r="FP11" i="12"/>
  <c r="DK11" i="12" s="1"/>
  <c r="ET11" i="12"/>
  <c r="EQ11" i="12"/>
  <c r="DR11" i="12"/>
  <c r="CH11" i="12"/>
  <c r="Z11" i="12" s="1"/>
  <c r="BZ11" i="12"/>
  <c r="BY11" i="12"/>
  <c r="BP11" i="12"/>
  <c r="BC11" i="12"/>
  <c r="BD11" i="12" s="1"/>
  <c r="BA11" i="12"/>
  <c r="HK10" i="12"/>
  <c r="HJ10" i="12"/>
  <c r="HI10" i="12"/>
  <c r="HH10" i="12"/>
  <c r="HE10" i="12"/>
  <c r="GC10" i="12"/>
  <c r="FY10" i="12"/>
  <c r="CP10" i="12" s="1"/>
  <c r="FW10" i="12"/>
  <c r="CO10" i="12" s="1"/>
  <c r="FT10" i="12"/>
  <c r="EP10" i="12" s="1"/>
  <c r="FP10" i="12"/>
  <c r="DK10" i="12" s="1"/>
  <c r="ET10" i="12"/>
  <c r="EQ10" i="12"/>
  <c r="DR10" i="12"/>
  <c r="CH10" i="12"/>
  <c r="BK10" i="12" s="1"/>
  <c r="BZ10" i="12"/>
  <c r="BY10" i="12"/>
  <c r="BP10" i="12"/>
  <c r="BC10" i="12"/>
  <c r="BD10" i="12" s="1"/>
  <c r="BA10" i="12"/>
  <c r="HJ9" i="12"/>
  <c r="HI9" i="12"/>
  <c r="HH9" i="12"/>
  <c r="HE9" i="12"/>
  <c r="GC9" i="12"/>
  <c r="FY9" i="12"/>
  <c r="CP9" i="12" s="1"/>
  <c r="FW9" i="12"/>
  <c r="CO9" i="12" s="1"/>
  <c r="FP9" i="12"/>
  <c r="DK9" i="12" s="1"/>
  <c r="ET9" i="12"/>
  <c r="EQ9" i="12"/>
  <c r="EP9" i="12"/>
  <c r="DR9" i="12"/>
  <c r="CH9" i="12"/>
  <c r="BZ9" i="12"/>
  <c r="BY9" i="12"/>
  <c r="BP9" i="12"/>
  <c r="BC9" i="12"/>
  <c r="BD9" i="12" s="1"/>
  <c r="BA9" i="12"/>
  <c r="HJ8" i="12"/>
  <c r="GC8" i="12"/>
  <c r="FY8" i="12"/>
  <c r="FW8" i="12"/>
  <c r="FP8" i="12"/>
  <c r="EQ8" i="12"/>
  <c r="CH8" i="12"/>
  <c r="BK8" i="12" s="1"/>
  <c r="CA8" i="12"/>
  <c r="BZ8" i="12"/>
  <c r="HJ7" i="12"/>
  <c r="GC7" i="12"/>
  <c r="FY7" i="12"/>
  <c r="CP7" i="12" s="1"/>
  <c r="FW7" i="12"/>
  <c r="CO7" i="12" s="1"/>
  <c r="FP7" i="12"/>
  <c r="EQ7" i="12"/>
  <c r="EP7" i="12"/>
  <c r="CJ7" i="12"/>
  <c r="CH7" i="12"/>
  <c r="BZ7" i="12"/>
  <c r="BY7" i="12"/>
  <c r="CA7" i="12" s="1"/>
  <c r="BL7" i="12"/>
  <c r="BI7" i="12"/>
  <c r="AF7" i="12"/>
  <c r="AD7" i="12"/>
  <c r="Z7" i="12"/>
  <c r="X7" i="12"/>
  <c r="HJ6" i="12"/>
  <c r="GC6" i="12"/>
  <c r="FY6" i="12"/>
  <c r="CP6" i="12" s="1"/>
  <c r="FW6" i="12"/>
  <c r="CO6" i="12" s="1"/>
  <c r="FP6" i="12"/>
  <c r="EQ6" i="12"/>
  <c r="EP6" i="12"/>
  <c r="CJ6" i="12"/>
  <c r="CH6" i="12"/>
  <c r="BZ6" i="12"/>
  <c r="BY6" i="12"/>
  <c r="CA6" i="12" s="1"/>
  <c r="BL6" i="12"/>
  <c r="BI6" i="12"/>
  <c r="AF6" i="12"/>
  <c r="AD6" i="12"/>
  <c r="Z6" i="12"/>
  <c r="X6" i="12"/>
  <c r="BK5" i="12"/>
  <c r="BI5" i="12"/>
  <c r="BD5" i="12"/>
  <c r="AF5" i="12"/>
  <c r="AD5" i="12"/>
  <c r="Z5" i="12"/>
  <c r="X5" i="12"/>
  <c r="HG4" i="12"/>
  <c r="HF4" i="12"/>
  <c r="BD4" i="12"/>
  <c r="BI26" i="12" l="1"/>
  <c r="AF27" i="12"/>
  <c r="X10" i="12"/>
  <c r="AF13" i="12"/>
  <c r="BQ27" i="12"/>
  <c r="HL7" i="12"/>
  <c r="Z10" i="12"/>
  <c r="CB23" i="12"/>
  <c r="CC23" i="12" s="1"/>
  <c r="CJ23" i="12" s="1"/>
  <c r="AD8" i="12"/>
  <c r="BI8" i="12"/>
  <c r="X20" i="12"/>
  <c r="BQ25" i="12"/>
  <c r="AD26" i="12"/>
  <c r="BQ30" i="12"/>
  <c r="Z20" i="12"/>
  <c r="BK11" i="12"/>
  <c r="BL11" i="12" s="1"/>
  <c r="BK26" i="12"/>
  <c r="BL26" i="12" s="1"/>
  <c r="BQ26" i="12"/>
  <c r="AA12" i="12"/>
  <c r="AF17" i="12"/>
  <c r="CB28" i="13"/>
  <c r="CC28" i="13" s="1"/>
  <c r="CJ28" i="13" s="1"/>
  <c r="BL28" i="13"/>
  <c r="BL26" i="13"/>
  <c r="CC16" i="13"/>
  <c r="BL21" i="13"/>
  <c r="AA9" i="13"/>
  <c r="HJ8" i="13"/>
  <c r="CB18" i="13"/>
  <c r="A3" i="13"/>
  <c r="A2" i="13"/>
  <c r="BL18" i="13"/>
  <c r="CB25" i="13"/>
  <c r="CC25" i="13" s="1"/>
  <c r="CJ25" i="13" s="1"/>
  <c r="AD21" i="13"/>
  <c r="X17" i="13"/>
  <c r="AA17" i="13" s="1"/>
  <c r="X21" i="13"/>
  <c r="AA21" i="13" s="1"/>
  <c r="X26" i="13"/>
  <c r="AA26" i="13" s="1"/>
  <c r="AD17" i="13"/>
  <c r="CA22" i="13"/>
  <c r="CB22" i="13" s="1"/>
  <c r="CC22" i="13" s="1"/>
  <c r="CJ22" i="13" s="1"/>
  <c r="AD11" i="13"/>
  <c r="CA13" i="13"/>
  <c r="CB13" i="13" s="1"/>
  <c r="CC13" i="13" s="1"/>
  <c r="CJ13" i="13" s="1"/>
  <c r="AF17" i="13"/>
  <c r="AF21" i="13"/>
  <c r="AF26" i="13"/>
  <c r="AF11" i="13"/>
  <c r="X13" i="13"/>
  <c r="AA13" i="13" s="1"/>
  <c r="Z18" i="13"/>
  <c r="AA18" i="13" s="1"/>
  <c r="CC18" i="13"/>
  <c r="CJ18" i="13" s="1"/>
  <c r="Z22" i="13"/>
  <c r="AA22" i="13" s="1"/>
  <c r="CA28" i="13"/>
  <c r="AD26" i="13"/>
  <c r="X8" i="13"/>
  <c r="Z13" i="13"/>
  <c r="X28" i="13"/>
  <c r="Z8" i="13"/>
  <c r="Z28" i="13"/>
  <c r="BI17" i="13"/>
  <c r="BL17" i="13" s="1"/>
  <c r="BI21" i="13"/>
  <c r="BI26" i="13"/>
  <c r="AD8" i="13"/>
  <c r="BI11" i="13"/>
  <c r="AF13" i="13"/>
  <c r="CA24" i="13"/>
  <c r="CB24" i="13" s="1"/>
  <c r="CC24" i="13" s="1"/>
  <c r="CJ24" i="13" s="1"/>
  <c r="AD28" i="13"/>
  <c r="CA29" i="13"/>
  <c r="CB29" i="13" s="1"/>
  <c r="CC29" i="13" s="1"/>
  <c r="CJ29" i="13" s="1"/>
  <c r="AF8" i="13"/>
  <c r="BK11" i="13"/>
  <c r="AF28" i="13"/>
  <c r="BI8" i="13"/>
  <c r="CA10" i="13"/>
  <c r="CB10" i="13" s="1"/>
  <c r="CC10" i="13" s="1"/>
  <c r="CJ10" i="13" s="1"/>
  <c r="HJ6" i="13" s="1"/>
  <c r="CA16" i="13"/>
  <c r="CB16" i="13" s="1"/>
  <c r="CA20" i="13"/>
  <c r="CB20" i="13" s="1"/>
  <c r="CC20" i="13" s="1"/>
  <c r="CJ20" i="13" s="1"/>
  <c r="CA25" i="13"/>
  <c r="BI27" i="13"/>
  <c r="X10" i="13"/>
  <c r="AA10" i="13" s="1"/>
  <c r="BI18" i="13"/>
  <c r="BI22" i="13"/>
  <c r="BL22" i="13" s="1"/>
  <c r="BK27" i="13"/>
  <c r="BL27" i="13" s="1"/>
  <c r="CA30" i="13"/>
  <c r="CB30" i="13" s="1"/>
  <c r="CC30" i="13" s="1"/>
  <c r="CJ30" i="13" s="1"/>
  <c r="BI13" i="13"/>
  <c r="BL13" i="13" s="1"/>
  <c r="X30" i="13"/>
  <c r="AA30" i="13" s="1"/>
  <c r="BI28" i="13"/>
  <c r="CB22" i="12"/>
  <c r="CC22" i="12" s="1"/>
  <c r="CJ22" i="12" s="1"/>
  <c r="BI17" i="12"/>
  <c r="CB30" i="12"/>
  <c r="CC30" i="12" s="1"/>
  <c r="CJ30" i="12" s="1"/>
  <c r="AA6" i="12"/>
  <c r="BK17" i="12"/>
  <c r="BI27" i="12"/>
  <c r="AD18" i="12"/>
  <c r="BQ9" i="12"/>
  <c r="CB7" i="12"/>
  <c r="CC7" i="12" s="1"/>
  <c r="BQ20" i="12"/>
  <c r="CB14" i="12"/>
  <c r="CC14" i="12" s="1"/>
  <c r="CJ14" i="12" s="1"/>
  <c r="BI18" i="12"/>
  <c r="AD22" i="12"/>
  <c r="CB28" i="12"/>
  <c r="CC28" i="12" s="1"/>
  <c r="CJ28" i="12" s="1"/>
  <c r="BK18" i="12"/>
  <c r="BL18" i="12" s="1"/>
  <c r="AF22" i="12"/>
  <c r="BQ18" i="12"/>
  <c r="AF26" i="12"/>
  <c r="Z29" i="12"/>
  <c r="AA29" i="12" s="1"/>
  <c r="BQ24" i="12"/>
  <c r="HE4" i="12"/>
  <c r="CB16" i="12"/>
  <c r="CC16" i="12" s="1"/>
  <c r="BI22" i="12"/>
  <c r="BL22" i="12" s="1"/>
  <c r="CB29" i="12"/>
  <c r="CC29" i="12" s="1"/>
  <c r="CJ29" i="12" s="1"/>
  <c r="CB12" i="12"/>
  <c r="CC12" i="12" s="1"/>
  <c r="BQ10" i="12"/>
  <c r="CA15" i="12"/>
  <c r="CB15" i="12" s="1"/>
  <c r="CC15" i="12" s="1"/>
  <c r="CJ15" i="12" s="1"/>
  <c r="X24" i="12"/>
  <c r="AA24" i="12" s="1"/>
  <c r="CA27" i="12"/>
  <c r="CB27" i="12" s="1"/>
  <c r="CC27" i="12" s="1"/>
  <c r="CJ27" i="12" s="1"/>
  <c r="CA13" i="12"/>
  <c r="CB13" i="12" s="1"/>
  <c r="CC13" i="12" s="1"/>
  <c r="CJ13" i="12" s="1"/>
  <c r="CA18" i="12"/>
  <c r="CB18" i="12" s="1"/>
  <c r="CC18" i="12" s="1"/>
  <c r="CJ18" i="12" s="1"/>
  <c r="X8" i="12"/>
  <c r="X9" i="12"/>
  <c r="AD11" i="12"/>
  <c r="CB6" i="12"/>
  <c r="CC6" i="12" s="1"/>
  <c r="Z8" i="12"/>
  <c r="Z9" i="12"/>
  <c r="CA10" i="12"/>
  <c r="CB10" i="12" s="1"/>
  <c r="CC10" i="12" s="1"/>
  <c r="CJ10" i="12" s="1"/>
  <c r="AF11" i="12"/>
  <c r="AD21" i="12"/>
  <c r="CB25" i="12"/>
  <c r="CC25" i="12" s="1"/>
  <c r="CJ25" i="12" s="1"/>
  <c r="AF21" i="12"/>
  <c r="Z28" i="12"/>
  <c r="AA28" i="12" s="1"/>
  <c r="CA20" i="12"/>
  <c r="CB20" i="12" s="1"/>
  <c r="CC20" i="12" s="1"/>
  <c r="CJ20" i="12" s="1"/>
  <c r="AD28" i="12"/>
  <c r="AF8" i="12"/>
  <c r="BI11" i="12"/>
  <c r="Z14" i="12"/>
  <c r="AA14" i="12" s="1"/>
  <c r="AD19" i="12"/>
  <c r="AD27" i="12"/>
  <c r="AF28" i="12"/>
  <c r="HH4" i="12"/>
  <c r="BQ11" i="12"/>
  <c r="AF18" i="12"/>
  <c r="BI21" i="12"/>
  <c r="CA24" i="12"/>
  <c r="CB24" i="12" s="1"/>
  <c r="CC24" i="12" s="1"/>
  <c r="CJ24" i="12" s="1"/>
  <c r="X25" i="12"/>
  <c r="CB26" i="12"/>
  <c r="CC26" i="12" s="1"/>
  <c r="CJ26" i="12" s="1"/>
  <c r="CB8" i="12"/>
  <c r="CC8" i="12" s="1"/>
  <c r="CA9" i="12"/>
  <c r="CB9" i="12" s="1"/>
  <c r="CC9" i="12" s="1"/>
  <c r="CJ9" i="12" s="1"/>
  <c r="HI4" i="12"/>
  <c r="BK21" i="12"/>
  <c r="Z25" i="12"/>
  <c r="X30" i="12"/>
  <c r="AD23" i="12"/>
  <c r="Z30" i="12"/>
  <c r="AA10" i="12"/>
  <c r="BQ21" i="12"/>
  <c r="BK27" i="12"/>
  <c r="BL27" i="12" s="1"/>
  <c r="AA7" i="12"/>
  <c r="AA20" i="12"/>
  <c r="HL8" i="12"/>
  <c r="A2" i="12"/>
  <c r="A3" i="12"/>
  <c r="CB21" i="12"/>
  <c r="CC21" i="12" s="1"/>
  <c r="CJ21" i="12" s="1"/>
  <c r="AF19" i="12"/>
  <c r="AF23" i="12"/>
  <c r="AF15" i="12"/>
  <c r="CA17" i="12"/>
  <c r="CB17" i="12" s="1"/>
  <c r="CC17" i="12" s="1"/>
  <c r="CJ17" i="12" s="1"/>
  <c r="AD20" i="12"/>
  <c r="AF10" i="12"/>
  <c r="CA11" i="12"/>
  <c r="CB11" i="12" s="1"/>
  <c r="CC11" i="12" s="1"/>
  <c r="CJ11" i="12" s="1"/>
  <c r="BI14" i="12"/>
  <c r="X17" i="12"/>
  <c r="AA17" i="12" s="1"/>
  <c r="BI19" i="12"/>
  <c r="AF20" i="12"/>
  <c r="X21" i="12"/>
  <c r="AA21" i="12" s="1"/>
  <c r="BI23" i="12"/>
  <c r="AF25" i="12"/>
  <c r="X26" i="12"/>
  <c r="AA26" i="12" s="1"/>
  <c r="AD30" i="12"/>
  <c r="AF24" i="12"/>
  <c r="AD25" i="12"/>
  <c r="BK28" i="12"/>
  <c r="BI9" i="12"/>
  <c r="X11" i="12"/>
  <c r="AA11" i="12" s="1"/>
  <c r="BQ13" i="12"/>
  <c r="BK14" i="12"/>
  <c r="BI15" i="12"/>
  <c r="BK19" i="12"/>
  <c r="BL19" i="12" s="1"/>
  <c r="BK23" i="12"/>
  <c r="AF30" i="12"/>
  <c r="AD14" i="12"/>
  <c r="BI13" i="12"/>
  <c r="AD10" i="12"/>
  <c r="BK9" i="12"/>
  <c r="BK15" i="12"/>
  <c r="BI24" i="12"/>
  <c r="BQ28" i="12"/>
  <c r="BI29" i="12"/>
  <c r="AF9" i="12"/>
  <c r="AD24" i="12"/>
  <c r="AD29" i="12"/>
  <c r="BI28" i="12"/>
  <c r="AF29" i="12"/>
  <c r="BK24" i="12"/>
  <c r="X27" i="12"/>
  <c r="AA27" i="12" s="1"/>
  <c r="BK29" i="12"/>
  <c r="AD9" i="12"/>
  <c r="AD15" i="12"/>
  <c r="AF14" i="12"/>
  <c r="BK13" i="12"/>
  <c r="BI10" i="12"/>
  <c r="BL10" i="12" s="1"/>
  <c r="BQ14" i="12"/>
  <c r="X18" i="12"/>
  <c r="AA18" i="12" s="1"/>
  <c r="BQ19" i="12"/>
  <c r="BI20" i="12"/>
  <c r="BL20" i="12" s="1"/>
  <c r="X22" i="12"/>
  <c r="AA22" i="12" s="1"/>
  <c r="BQ23" i="12"/>
  <c r="BI25" i="12"/>
  <c r="BL25" i="12" s="1"/>
  <c r="X13" i="12"/>
  <c r="BQ15" i="12"/>
  <c r="BI30" i="12"/>
  <c r="BL30" i="12" s="1"/>
  <c r="Z13" i="12"/>
  <c r="BQ29" i="12"/>
  <c r="X19" i="12"/>
  <c r="AA19" i="12" s="1"/>
  <c r="X23" i="12"/>
  <c r="AA23" i="12" s="1"/>
  <c r="X15" i="12"/>
  <c r="AA15" i="12" s="1"/>
  <c r="BL14" i="12" l="1"/>
  <c r="BL17" i="12"/>
  <c r="AA28" i="13"/>
  <c r="AA8" i="13"/>
  <c r="BL11" i="13"/>
  <c r="BL28" i="12"/>
  <c r="BL15" i="12"/>
  <c r="AA30" i="12"/>
  <c r="BL21" i="12"/>
  <c r="AA8" i="12"/>
  <c r="HL6" i="12"/>
  <c r="BL29" i="12"/>
  <c r="AA9" i="12"/>
  <c r="AA25" i="12"/>
  <c r="AA13" i="12"/>
  <c r="BL24" i="12"/>
  <c r="BL23" i="12"/>
  <c r="BL13" i="12"/>
  <c r="BL9" i="12"/>
  <c r="O55" i="8"/>
  <c r="O54" i="8"/>
  <c r="O53" i="8"/>
  <c r="C57" i="8"/>
  <c r="C48" i="8"/>
  <c r="C47" i="8"/>
  <c r="C46" i="8"/>
  <c r="C45" i="8"/>
  <c r="C44" i="8"/>
  <c r="C43" i="8"/>
  <c r="C42" i="8"/>
  <c r="C41" i="8"/>
  <c r="C40" i="8"/>
  <c r="C39" i="8"/>
  <c r="C38" i="8"/>
  <c r="C37" i="8"/>
  <c r="C36" i="8"/>
  <c r="C35" i="8"/>
  <c r="C34" i="8"/>
  <c r="C33" i="8"/>
  <c r="C32" i="8"/>
  <c r="C31" i="8"/>
  <c r="C26" i="8"/>
  <c r="C25" i="8"/>
  <c r="C24" i="8"/>
  <c r="C23" i="8"/>
  <c r="C22" i="8"/>
  <c r="C21" i="8"/>
  <c r="C20" i="8"/>
  <c r="C19" i="8"/>
  <c r="C18" i="8"/>
  <c r="C17" i="8"/>
  <c r="C16" i="8"/>
  <c r="C15" i="8"/>
  <c r="C14" i="8"/>
  <c r="C13" i="8"/>
  <c r="C12" i="8"/>
  <c r="C11" i="8"/>
  <c r="C9" i="8"/>
  <c r="C7" i="8"/>
  <c r="C6" i="8"/>
  <c r="C5" i="8"/>
</calcChain>
</file>

<file path=xl/sharedStrings.xml><?xml version="1.0" encoding="utf-8"?>
<sst xmlns="http://schemas.openxmlformats.org/spreadsheetml/2006/main" count="3652" uniqueCount="343">
  <si>
    <t>CST</t>
  </si>
  <si>
    <t>UST</t>
  </si>
  <si>
    <t>M06</t>
  </si>
  <si>
    <t>FSTCD</t>
  </si>
  <si>
    <t>M12</t>
  </si>
  <si>
    <t>TR</t>
  </si>
  <si>
    <t>M19A</t>
  </si>
  <si>
    <t>M21</t>
  </si>
  <si>
    <t>ID</t>
  </si>
  <si>
    <t>M16</t>
  </si>
  <si>
    <t>M17</t>
  </si>
  <si>
    <t>M18</t>
  </si>
  <si>
    <t>M19B</t>
  </si>
  <si>
    <t>M20A</t>
  </si>
  <si>
    <t>M20B</t>
  </si>
  <si>
    <t>M20C</t>
  </si>
  <si>
    <t>M13</t>
  </si>
  <si>
    <t>M14</t>
  </si>
  <si>
    <t>M15</t>
  </si>
  <si>
    <t>M04</t>
  </si>
  <si>
    <t>M05</t>
  </si>
  <si>
    <t>M08</t>
  </si>
  <si>
    <t>M09B</t>
  </si>
  <si>
    <t>M11</t>
  </si>
  <si>
    <t>total_vol</t>
  </si>
  <si>
    <t>first_storm_vol</t>
  </si>
  <si>
    <t>first_storm</t>
  </si>
  <si>
    <t>first_storm_RI</t>
  </si>
  <si>
    <t>first_storm_vol_lnorm</t>
  </si>
  <si>
    <t>length</t>
  </si>
  <si>
    <t>Q2</t>
  </si>
  <si>
    <t>Q5</t>
  </si>
  <si>
    <t>Q25</t>
  </si>
  <si>
    <t>Q50</t>
  </si>
  <si>
    <t>Q100</t>
  </si>
  <si>
    <t>Q500</t>
  </si>
  <si>
    <t>M01</t>
  </si>
  <si>
    <t>M02</t>
  </si>
  <si>
    <t>M03</t>
  </si>
  <si>
    <t>M07</t>
  </si>
  <si>
    <t>M09A</t>
  </si>
  <si>
    <t>M10</t>
  </si>
  <si>
    <t>Cross LCL</t>
  </si>
  <si>
    <t>First
FP</t>
  </si>
  <si>
    <t>na</t>
  </si>
  <si>
    <t>CEFD</t>
  </si>
  <si>
    <t>DEP</t>
  </si>
  <si>
    <t>Total FP Vol.</t>
  </si>
  <si>
    <t>First FP Vol.</t>
  </si>
  <si>
    <t>Sed. Regime Type</t>
  </si>
  <si>
    <t>---</t>
  </si>
  <si>
    <t>Critical SSP Storm</t>
  </si>
  <si>
    <t>length
[km]</t>
  </si>
  <si>
    <t>Smallest Spillover Storm</t>
  </si>
  <si>
    <t>Slope</t>
  </si>
  <si>
    <t>Critical SSP</t>
  </si>
  <si>
    <t>LCL</t>
  </si>
  <si>
    <t>Nom.</t>
  </si>
  <si>
    <t>UCL</t>
  </si>
  <si>
    <t>Dam-Controlled</t>
  </si>
  <si>
    <t>SSP_ch_Q2</t>
  </si>
  <si>
    <t>SSP_ch_Q5</t>
  </si>
  <si>
    <t>SSP_ch_Q25</t>
  </si>
  <si>
    <t>SSP_ch_Q50</t>
  </si>
  <si>
    <t>SSP_ch_Q100</t>
  </si>
  <si>
    <t>SSP_ch_Q500</t>
  </si>
  <si>
    <t>combined SSP</t>
  </si>
  <si>
    <t>channel SSP</t>
  </si>
  <si>
    <t>ChannelEvolutionStage</t>
  </si>
  <si>
    <t>confinement_ratio</t>
  </si>
  <si>
    <t>confinement_type</t>
  </si>
  <si>
    <t>HumanElevatedFloodplain</t>
  </si>
  <si>
    <t>P2valley_width</t>
  </si>
  <si>
    <t>Reach_Wide_Condition</t>
  </si>
  <si>
    <t>RgaDegradation</t>
  </si>
  <si>
    <t>RgaDegradationHistoric</t>
  </si>
  <si>
    <t>RgaDegradationScore</t>
  </si>
  <si>
    <t>RgaRating</t>
  </si>
  <si>
    <t>State_Wide_Condition</t>
  </si>
  <si>
    <t>total_impact</t>
  </si>
  <si>
    <t>SC</t>
  </si>
  <si>
    <t>No</t>
  </si>
  <si>
    <t>Fair</t>
  </si>
  <si>
    <t>F</t>
  </si>
  <si>
    <t>II</t>
  </si>
  <si>
    <t>None</t>
  </si>
  <si>
    <t>Yes</t>
  </si>
  <si>
    <t>III</t>
  </si>
  <si>
    <t>NW</t>
  </si>
  <si>
    <t>BD</t>
  </si>
  <si>
    <t>Poor</t>
  </si>
  <si>
    <t>C to B</t>
  </si>
  <si>
    <t>I</t>
  </si>
  <si>
    <t>NC</t>
  </si>
  <si>
    <t>IV</t>
  </si>
  <si>
    <t>C to F</t>
  </si>
  <si>
    <t>VB</t>
  </si>
  <si>
    <t>Good</t>
  </si>
  <si>
    <t>Other</t>
  </si>
  <si>
    <t>Reference</t>
  </si>
  <si>
    <t>Entrench-ment ratio</t>
  </si>
  <si>
    <t>Incision ratio</t>
  </si>
  <si>
    <t>sinuosity</t>
  </si>
  <si>
    <t>channel_width</t>
  </si>
  <si>
    <t>valley_width</t>
  </si>
  <si>
    <t>bedform</t>
  </si>
  <si>
    <t>bed_material</t>
  </si>
  <si>
    <t>dominant_geological_material</t>
  </si>
  <si>
    <t>erosion_length</t>
  </si>
  <si>
    <t>erosion_height</t>
  </si>
  <si>
    <t>is_in_rock_gorge</t>
  </si>
  <si>
    <t>bank_erosion_length_left</t>
  </si>
  <si>
    <t>bank_erosion_length_right</t>
  </si>
  <si>
    <t>bank_erosion_width_left</t>
  </si>
  <si>
    <t>bank_erosion_width_right</t>
  </si>
  <si>
    <t>MassFailures</t>
  </si>
  <si>
    <t>AdjacentWetland</t>
  </si>
  <si>
    <t>SedimentDeposition</t>
  </si>
  <si>
    <t>ChannelFlowStatus</t>
  </si>
  <si>
    <t>Plane Bed</t>
  </si>
  <si>
    <t>Gravel</t>
  </si>
  <si>
    <t>Till</t>
  </si>
  <si>
    <t>Bedrock</t>
  </si>
  <si>
    <t>Riffle-Pool</t>
  </si>
  <si>
    <t>One</t>
  </si>
  <si>
    <t>Minimal</t>
  </si>
  <si>
    <t>Cobble</t>
  </si>
  <si>
    <t>Glacial Lake</t>
  </si>
  <si>
    <t>Multiple</t>
  </si>
  <si>
    <t>Alluvial</t>
  </si>
  <si>
    <t>Ice-Contact</t>
  </si>
  <si>
    <t>Abundant</t>
  </si>
  <si>
    <t>Step-Pool</t>
  </si>
  <si>
    <t>segment_length</t>
  </si>
  <si>
    <t>berm_length_one_side</t>
  </si>
  <si>
    <t>berm_length_both_sides</t>
  </si>
  <si>
    <t>berm_length_left_side</t>
  </si>
  <si>
    <t>berm_length_right_side</t>
  </si>
  <si>
    <t>road_length_one_side</t>
  </si>
  <si>
    <t>road_length_both_sides</t>
  </si>
  <si>
    <t>road_length_left_side</t>
  </si>
  <si>
    <t>road_length_right_side</t>
  </si>
  <si>
    <t>railroad_length_one_side</t>
  </si>
  <si>
    <t>railroad_length_both_sides</t>
  </si>
  <si>
    <t>railroad_length_left_side</t>
  </si>
  <si>
    <t>railroad_length_right_side</t>
  </si>
  <si>
    <t>improved_path_length_one_side</t>
  </si>
  <si>
    <t>improved_path_length_both_sides</t>
  </si>
  <si>
    <t>improved_path_length_left_side</t>
  </si>
  <si>
    <t>improved_path_length_right_side</t>
  </si>
  <si>
    <t>development_length_one_side</t>
  </si>
  <si>
    <t>development_length_both_sides</t>
  </si>
  <si>
    <t>development_length_left_side</t>
  </si>
  <si>
    <t>development_length_right_side</t>
  </si>
  <si>
    <t>recently_abandoned_floodplain_height</t>
  </si>
  <si>
    <t>stream_type</t>
  </si>
  <si>
    <t>bank_revetment_type_left</t>
  </si>
  <si>
    <t>bank_revetment_type_right</t>
  </si>
  <si>
    <t>bank_revetment_length_left</t>
  </si>
  <si>
    <t>bank_revetment_length_right</t>
  </si>
  <si>
    <t>B</t>
  </si>
  <si>
    <t>Rip-Rap</t>
  </si>
  <si>
    <t>C</t>
  </si>
  <si>
    <t>G</t>
  </si>
  <si>
    <t>Hard Bank</t>
  </si>
  <si>
    <t>bank_revetment_%_total_bank_length (R+L)</t>
  </si>
  <si>
    <t>Revetments</t>
  </si>
  <si>
    <t>Development</t>
  </si>
  <si>
    <t>Of the 6 reaches in the upper quartile of disconnected specific volume, 3 have erosion along 20+ of total bank length.  Of the three reaches that have less than 20% bank erosion, two also have connected specific volume capacity that is accessed by the Q5</t>
  </si>
  <si>
    <t>erosion_length_correected</t>
  </si>
  <si>
    <t>rock gorge or bedrock bed material</t>
  </si>
  <si>
    <t>Yes?</t>
  </si>
  <si>
    <t>Of the 6 bedrock-controlled reaches, none have disconnected dissipation and only one has connected storage (not accessed until the Q100)</t>
  </si>
  <si>
    <t>Of the 7 reaches with a "good" or "reference" condition, none have disconnected dissipation</t>
  </si>
  <si>
    <t>Of the 6 reaches with a "good" or "reference" condition, none have disconnected dissipation</t>
  </si>
  <si>
    <t>Of the 5 reaches with "poor" condition, three have disconnected dissipation</t>
  </si>
  <si>
    <t>Of the 14 reaches with "fair" condition, 5 have large disconnected dissipation relative to other reaches in the study area</t>
  </si>
  <si>
    <t>Of the 11 reaches (8 non-bedrock-controlled) with a width less than ~350ft, none have substantial disconnected storage relative to other reaches in the watershed and only 1 has connected storage (not accessed until the Q500)</t>
  </si>
  <si>
    <t xml:space="preserve">A between watershed or “statewide” reach condition is also generated in this report. The Vermont River Management Program uses Phase 1 assessments completed in Vermont and uses a statewide high adjustment score value to generate a statewide reach condition using the computation process described above. This value will allow you to compare the condition ratings of your reaches to each other as well as with those from assessed reaches around Vermont. </t>
  </si>
  <si>
    <t>NC  - narrowly confined
SC - semi-confined
NW - narrow
BD - Broad
VB - very broad</t>
  </si>
  <si>
    <t>Of the 8 f-type reaches, only 1 has smallest spillover at the Q25 and all the rest have spillover at the Q500 or greater</t>
  </si>
  <si>
    <t>Not much of a correlation with disconnected specific volume capacity or smallest spillover ==&gt; suggests location of road is more important than amount of road?  Also not much of a correlation with SSP thresholds</t>
  </si>
  <si>
    <t>confinement_type1 (phase 1)</t>
  </si>
  <si>
    <t>9 NC or SC reaches
		only 2 have smallest spillover at Q5 or less (for 1 reach spillover is disconnected until the Q500).  All other 7 are Q500+
		only 3/9 have connected dissipation (2/3 accessed at the Q100+). 
	13 NW, NC, or SC reaches (that we have GS data for)
		11 exceed the LCL at the Q25 or less
	6 BD or VB
		only 1 exceeds the LCL at the Q25, all others exceed at Q100+</t>
  </si>
  <si>
    <t>12 till or ice-contact reaches
	non have disconnected dissipation and only 1 has connected dissipation (only accessed at the Q500)
12 alluvial or glacial lake reaches	
	10 have either disconnected or connected dissipation
Of the 9 till/ice-contact reaches that have grainsize data, 3 exceed critical SSP at Q5.  All three reaches that exceed the nominal critical SSP threshold at the Q5 or less are all ice-contact</t>
  </si>
  <si>
    <t>Incision ratio rounded</t>
  </si>
  <si>
    <t>Entrenchment class</t>
  </si>
  <si>
    <t>Rounded the incision ratio to 1 decimal place</t>
  </si>
  <si>
    <t>Road on one or both sides</t>
  </si>
  <si>
    <t>(road_length_one_side + road_length_both_sides)/reach_length</t>
  </si>
  <si>
    <t>yes for M01 and for any reach that is in a bedrock gorge or has "bedrock" bed material</t>
  </si>
  <si>
    <t>Erosion_length from SGA if available (and numbers seem reasonable).  Otherwise, the sum of left and right bank erosion lengths.  Note that the erosion_length values for the M20 reaches do not seem reasonable</t>
  </si>
  <si>
    <t>bank erosion %</t>
  </si>
  <si>
    <t xml:space="preserve"> (corrected erosion length)/(2*reach_len)</t>
  </si>
  <si>
    <t>From SGA Database</t>
  </si>
  <si>
    <t>road length on one side normalized by reach length</t>
  </si>
  <si>
    <t>road length on both sides normalized by reach length</t>
  </si>
  <si>
    <t>Incision Ratio Threshold:</t>
  </si>
  <si>
    <t>Based on the Entrenchment Ratio parameter &amp; thresholds from SGA handbook:
    highly entrenched (HE): &lt;1.4
    moderately entrenched (ME) 1.4-2.2
    not entrenched (NE) &gt;2.2</t>
  </si>
  <si>
    <t>From SGA Database
Rosgen?</t>
  </si>
  <si>
    <t>Not much of a pattern (for either rounded or not rounded incision ratio).  Only 1/6 reaches with IR&lt;1.4 have connected or disconnected storage below the Q500.  I suspect that this is because most of the reaches with IR&lt;1.4 are more in the headwaters, where reaches tend not to have either connected or disconnected storage</t>
  </si>
  <si>
    <t>Not much of a correlation with SSP or smallest spillover storm</t>
  </si>
  <si>
    <t>Reaches with channel evolotion stage 1&amp;4 tend to have lower (dis)connected energy dissipation</t>
  </si>
  <si>
    <t xml:space="preserve">1)	Of the 8 F-type reaches, 6 exceed the LCL before the Q25 and 3 of those 6 exceed the LCL before the Q2.  Only 5 of the 11 other reaches (non-F-types for which we have grainsize data) exceed the LCL before the Q25.  </t>
  </si>
  <si>
    <t>Entrenchment - have data for 22 reaches
8 HE reaches
	smallest spillover is Q25+
	5/8 do not have significant (dis)connected dissipation.  only 2/8 have connected spillover (one between Q5-Q25 and one between Q100-Q500).  Only 1/8 has significant disconnected dissipation
	6/8 exceed at least one threshold below the Q25
14 ME/NE reaches (11 that we have grainsize (and therefore SSP) data for)
	8/14 have (dis)connected dissipation (5 have both connected and disconnected, 2 have connected only, and 1 has disconnected only)
	for SSP tresholds:
		Only 2/11 exceed a threshold before the Q5 and only 1/11 exceeds the UCL for any modeled design storm and 6/11 do not exceed any threshold before the Q50</t>
  </si>
  <si>
    <t>TABLE 2 (?)</t>
  </si>
  <si>
    <t>&gt;Q500</t>
  </si>
  <si>
    <t>Smallest Spillover</t>
  </si>
  <si>
    <t xml:space="preserve"> -- </t>
  </si>
  <si>
    <r>
      <t xml:space="preserve">Connected </t>
    </r>
    <r>
      <rPr>
        <sz val="11"/>
        <color theme="1"/>
        <rFont val="Calibri"/>
        <family val="2"/>
      </rPr>
      <t>≤Q50</t>
    </r>
    <r>
      <rPr>
        <sz val="11"/>
        <color theme="1"/>
        <rFont val="Calibri"/>
        <family val="2"/>
        <scheme val="minor"/>
      </rPr>
      <t>?</t>
    </r>
  </si>
  <si>
    <t>Disconnected ≤Q50?</t>
  </si>
  <si>
    <t>Use regional hydraulic geometry curve estimate of channel with (110 ft) (from Phase 1 SGA)</t>
  </si>
  <si>
    <t>So confirm Q50 would have access.</t>
  </si>
  <si>
    <t>Use Q50 valley width from probHAND as the Flood Prone Width = 1300 ft</t>
  </si>
  <si>
    <t>ER = FPW/CW = 12</t>
  </si>
  <si>
    <t>Entrenched by virtue of incision, which means it takes a higher flood stage (Q25) to achieve floodplain connection.</t>
  </si>
  <si>
    <t>How does a reach like this register a smallest spillover event of Q25, but not have any connected specific storage?  Is the smallest spillover event a disconnected type?</t>
  </si>
  <si>
    <t>Naturally confined therefore entrenched</t>
  </si>
  <si>
    <t xml:space="preserve">How does a reach like this register a smallest spillover event of Q2, but not have any connected specific storage until Q100 and Q500?  </t>
  </si>
  <si>
    <t>Naturally confined therefore entrenched; also incised enhancing entrenchment</t>
  </si>
  <si>
    <t>Naturally narrow and at entrenchment ratio below a threshold of 3 - floodplains are modest in lateral extent and maybe sloped</t>
  </si>
  <si>
    <t>Coeff</t>
  </si>
  <si>
    <t>Exponen</t>
  </si>
  <si>
    <t>Calc</t>
  </si>
  <si>
    <t>DA (sq mi)</t>
  </si>
  <si>
    <t>W (ft)</t>
  </si>
  <si>
    <t>D (ft)</t>
  </si>
  <si>
    <t>CSA (ft2)</t>
  </si>
  <si>
    <t>Incision ratio (SGA) is likely underestimated. Lidar IR is 1.5. KU correction to ph2 SGA spreadsheet shows IR = 2.6.</t>
  </si>
  <si>
    <r>
      <t xml:space="preserve">1.1 </t>
    </r>
    <r>
      <rPr>
        <sz val="11"/>
        <color theme="8"/>
        <rFont val="Calibri"/>
        <family val="2"/>
        <scheme val="minor"/>
      </rPr>
      <t>/2.6</t>
    </r>
  </si>
  <si>
    <t>Deleted the impounded reach and bedrock reaches</t>
  </si>
  <si>
    <t>Calculated an ER for M10 as:</t>
  </si>
  <si>
    <t>Could assume IR from lidar = 1.41 however One outlier in automated IR calc (1.9) may have biased the lidar_IR a bit high; rest are 1.2, 1.1 (Evelyn, 4/5/2021).</t>
  </si>
  <si>
    <t>Would be important to note that smallest spillover events are not always relating to gradual energy dissipation.  Maybe add (C) or (D) next to each to indicate the type of energy feature they are associated with.</t>
  </si>
  <si>
    <t>I feel like I see a Q2 event in this reach (connected energy dissipation)</t>
  </si>
  <si>
    <t>I see a Q2 (connected) event here, as well as a Q100 (disconnected) event.</t>
  </si>
  <si>
    <r>
      <rPr>
        <sz val="11"/>
        <color theme="8"/>
        <rFont val="Calibri"/>
        <family val="2"/>
        <scheme val="minor"/>
      </rPr>
      <t>Q2</t>
    </r>
    <r>
      <rPr>
        <sz val="11"/>
        <color theme="1"/>
        <rFont val="Calibri"/>
        <family val="2"/>
        <scheme val="minor"/>
      </rPr>
      <t>/ Q100</t>
    </r>
  </si>
  <si>
    <t>ER&gt;3</t>
  </si>
  <si>
    <t>first_storm_gradual</t>
  </si>
  <si>
    <t>First
FP_gradual</t>
  </si>
  <si>
    <t>first_storm_abrupt</t>
  </si>
  <si>
    <t>First
FP_abrupt</t>
  </si>
  <si>
    <t>Gradual</t>
  </si>
  <si>
    <t>Abrupt</t>
  </si>
  <si>
    <t>Bed type</t>
  </si>
  <si>
    <t>IR</t>
  </si>
  <si>
    <t>ER</t>
  </si>
  <si>
    <t>SGA Parameters</t>
  </si>
  <si>
    <t>% roads</t>
  </si>
  <si>
    <r>
      <t>Channel SSP 
[watts/m</t>
    </r>
    <r>
      <rPr>
        <vertAlign val="superscript"/>
        <sz val="11"/>
        <color theme="0"/>
        <rFont val="Calibri"/>
        <family val="2"/>
        <scheme val="minor"/>
      </rPr>
      <t>2</t>
    </r>
    <r>
      <rPr>
        <sz val="11"/>
        <color theme="0"/>
        <rFont val="Calibri"/>
        <family val="2"/>
        <scheme val="minor"/>
      </rPr>
      <t>]</t>
    </r>
  </si>
  <si>
    <r>
      <t>Connected Specific Volume Capacity [m</t>
    </r>
    <r>
      <rPr>
        <vertAlign val="superscript"/>
        <sz val="11"/>
        <color theme="0"/>
        <rFont val="Calibri"/>
        <family val="2"/>
        <scheme val="minor"/>
      </rPr>
      <t>3</t>
    </r>
    <r>
      <rPr>
        <sz val="11"/>
        <color theme="0"/>
        <rFont val="Calibri"/>
        <family val="2"/>
        <scheme val="minor"/>
      </rPr>
      <t>/m]</t>
    </r>
  </si>
  <si>
    <r>
      <t>Disconnected Specific Volume Capacity [m</t>
    </r>
    <r>
      <rPr>
        <vertAlign val="superscript"/>
        <sz val="11"/>
        <color theme="0"/>
        <rFont val="Calibri"/>
        <family val="2"/>
        <scheme val="minor"/>
      </rPr>
      <t>3</t>
    </r>
    <r>
      <rPr>
        <sz val="11"/>
        <color theme="0"/>
        <rFont val="Calibri"/>
        <family val="2"/>
        <scheme val="minor"/>
      </rPr>
      <t>/m]</t>
    </r>
  </si>
  <si>
    <t>Critical SSP Threshold
[watts/m2]</t>
  </si>
  <si>
    <t>Incision Threshold</t>
  </si>
  <si>
    <t>Alluvial reaches</t>
  </si>
  <si>
    <t>Entrenched (all are alluvial)</t>
  </si>
  <si>
    <r>
      <t>Constrained (?) Storage [m</t>
    </r>
    <r>
      <rPr>
        <vertAlign val="superscript"/>
        <sz val="11"/>
        <color theme="1"/>
        <rFont val="Calibri"/>
        <family val="2"/>
        <scheme val="minor"/>
      </rPr>
      <t>3</t>
    </r>
    <r>
      <rPr>
        <sz val="11"/>
        <color theme="1"/>
        <rFont val="Calibri"/>
        <family val="2"/>
        <scheme val="minor"/>
      </rPr>
      <t>/m]</t>
    </r>
  </si>
  <si>
    <r>
      <t>Energy Dissipation (m</t>
    </r>
    <r>
      <rPr>
        <vertAlign val="superscript"/>
        <sz val="11"/>
        <color theme="1"/>
        <rFont val="Calibri"/>
        <family val="2"/>
        <scheme val="minor"/>
      </rPr>
      <t>3</t>
    </r>
    <r>
      <rPr>
        <sz val="11"/>
        <color theme="1"/>
        <rFont val="Calibri"/>
        <family val="2"/>
        <scheme val="minor"/>
      </rPr>
      <t>)</t>
    </r>
  </si>
  <si>
    <t>strong</t>
  </si>
  <si>
    <t>weak</t>
  </si>
  <si>
    <t>data</t>
  </si>
  <si>
    <r>
      <t>34</t>
    </r>
    <r>
      <rPr>
        <vertAlign val="superscript"/>
        <sz val="11"/>
        <color theme="1"/>
        <rFont val="Calibri"/>
        <family val="2"/>
        <scheme val="minor"/>
      </rPr>
      <t>*</t>
    </r>
  </si>
  <si>
    <r>
      <t>300</t>
    </r>
    <r>
      <rPr>
        <vertAlign val="superscript"/>
        <sz val="11"/>
        <color theme="1"/>
        <rFont val="Calibri"/>
        <family val="2"/>
        <scheme val="minor"/>
      </rPr>
      <t>**</t>
    </r>
  </si>
  <si>
    <t>First Spillover Design Storm</t>
  </si>
  <si>
    <t>confine-ment</t>
  </si>
  <si>
    <t>KEY:
    --- = Value missing, not calculated, or not reported for bedrock reaches
    IR = Incision Ratio
    ER = Entrenchment Ratio
        Green = ER&gt;3 (not entrenched)
        Red = ER&lt;3 (entrenched)
    confinement types = NC (narrowly confined); SC (semi-confined); NW (narrow); BD (broad); VB (very broad)
    Specific Volume Capacity shading based on range of [0-max]:
        Green = Connected
        Red = Disconnected
    * = 34 [watts/m2] from Bizzi &amp; Lerner (2015)
    * = 300 [watts/m2] from Magilligan et al. (1992)
    Channel SSP Shading
        Yellow = Exceeds LCL
        Orange = Exceeds nominal critical SSP
        Red = Exceeds UCL
        light blue = No grainsize data &amp; therefore no SSP thresholds</t>
  </si>
  <si>
    <t>Nominal</t>
  </si>
  <si>
    <t>Q2 SSP</t>
  </si>
  <si>
    <t>Q5 SSP</t>
  </si>
  <si>
    <t>Q25 SSP</t>
  </si>
  <si>
    <t>Q50 SSP</t>
  </si>
  <si>
    <t>KEY (Specific Volume Capacity):
    Specific Volume Capacity shading:
        Green = Connected
        Red = Disconnected</t>
  </si>
  <si>
    <t>KEY (SSP Thresholds):
    * = 34 [watts/m2] from Bizzi &amp; Lerner (2015)
    * = 300 [watts/m2] from Magilligan et al. (1992)
    Channel SSP Shading
        Yellow = Exceeds LCL
        Orange = Exceeds nominal critical SSP
        Red = Exceeds UCL
        light blue = No grainsize data &amp; no SSP thresholds</t>
  </si>
  <si>
    <t>D84</t>
  </si>
  <si>
    <t>Phase2SegmentID</t>
  </si>
  <si>
    <t>Drainage Area [sq.mi.]</t>
  </si>
  <si>
    <t>Nominal D84 [mm]</t>
  </si>
  <si>
    <t>Confine-ment</t>
  </si>
  <si>
    <t xml:space="preserve">KEY (SGA Parameters):
    Drainage Area from Stream Stats at downstream end of reach
    --- = Value missing, not calculated, or not reported for bedrock reaches
    IR = Incision Ratio
        Bold italics = IR&gt;1.4 (incised)
    ER = Entrenchment Ratio
        Bold italics = ER&lt;3 (entrenched)
    Confinement types (Confinement Ratio in parenthases)
        NC (narrowly confined); SC (semi-confined); 
        NW (narrow); BD (broad); VB (very broad)
</t>
  </si>
  <si>
    <t>SC (3.6)</t>
  </si>
  <si>
    <t>NW (5.1)</t>
  </si>
  <si>
    <t>SC (6.1)</t>
  </si>
  <si>
    <t>SC (7.6)</t>
  </si>
  <si>
    <t>BD (5.6)</t>
  </si>
  <si>
    <t>VB (15)</t>
  </si>
  <si>
    <t>BD (6.9)</t>
  </si>
  <si>
    <t>BD (16)</t>
  </si>
  <si>
    <t>SC (3.3)</t>
  </si>
  <si>
    <t>BD (13)</t>
  </si>
  <si>
    <t>BD (7.1)</t>
  </si>
  <si>
    <t>NW (4.0)</t>
  </si>
  <si>
    <t>SC (4.0)</t>
  </si>
  <si>
    <t>NW (4.3)</t>
  </si>
  <si>
    <t>NC (6.6)</t>
  </si>
  <si>
    <t>Dist from mouth</t>
  </si>
  <si>
    <t>num</t>
  </si>
  <si>
    <t/>
  </si>
  <si>
    <t>Entrenched</t>
  </si>
  <si>
    <t>ME</t>
  </si>
  <si>
    <t>NE</t>
  </si>
  <si>
    <t>NC (5.6)</t>
  </si>
  <si>
    <t>HE</t>
  </si>
  <si>
    <t>Q1000</t>
  </si>
  <si>
    <t>NC (1.3)</t>
  </si>
  <si>
    <t xml:space="preserve">KEY (SGA Parameters):
    Drainage Area from Stream Stats at downstream end of reach
    --- = Value missing, not calculated, or not reported for bedrock reaches
    IR = Incision Ratio: Bold italics = IR&gt;1.4 (incised)
    ER = Entrenchment Ratio: Bold italics = ER&lt;3 (entrenched)
    Confinement types (Confinement Ratio in parentheses):
        NC (narrowly confined); SC (semi-confined); 
        NW (narrow); BD (broad); VB (very broad)
</t>
  </si>
  <si>
    <t>Drainage Area [sq.km.]</t>
  </si>
  <si>
    <t>First Spillover Design Flood</t>
  </si>
  <si>
    <t>Parameter Name</t>
  </si>
  <si>
    <t>Symbol</t>
  </si>
  <si>
    <t>Formula</t>
  </si>
  <si>
    <t>Hydraulic Radius</t>
  </si>
  <si>
    <t>Area of Flow</t>
  </si>
  <si>
    <t>Average Topwidth</t>
  </si>
  <si>
    <t>R</t>
  </si>
  <si>
    <t>A</t>
  </si>
  <si>
    <t>W</t>
  </si>
  <si>
    <t>V/SA</t>
  </si>
  <si>
    <t>V/L</t>
  </si>
  <si>
    <t>SA/L</t>
  </si>
  <si>
    <t>373</t>
  </si>
  <si>
    <t>370</t>
  </si>
  <si>
    <t>368</t>
  </si>
  <si>
    <t>365</t>
  </si>
  <si>
    <t>360</t>
  </si>
  <si>
    <t>342</t>
  </si>
  <si>
    <t>339</t>
  </si>
  <si>
    <t>329</t>
  </si>
  <si>
    <t>326</t>
  </si>
  <si>
    <t>300</t>
  </si>
  <si>
    <t>249</t>
  </si>
  <si>
    <t>211</t>
  </si>
  <si>
    <t>149</t>
  </si>
  <si>
    <t>143</t>
  </si>
  <si>
    <t>141</t>
  </si>
  <si>
    <t>118</t>
  </si>
  <si>
    <t>96.3</t>
  </si>
  <si>
    <t>89.4</t>
  </si>
  <si>
    <t>71.5</t>
  </si>
  <si>
    <t>69.9</t>
  </si>
  <si>
    <t>49.7</t>
  </si>
  <si>
    <t>47.1</t>
  </si>
  <si>
    <t>46.4</t>
  </si>
  <si>
    <t>31.9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</si>
</sst>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0.000"/>
    <numFmt numFmtId="167" formatCode="0E+00"/>
  </numFmts>
  <fonts count="10" x14ac:knownFonts="1">
    <font>
      <sz val="11"/>
      <color theme="1"/>
      <name val="Calibri"/>
      <family val="2"/>
      <scheme val="minor"/>
    </font>
    <font>
      <vertAlign val="superscrip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font>
    <font>
      <sz val="11"/>
      <name val="Calibri"/>
      <family val="2"/>
      <scheme val="minor"/>
    </font>
    <font>
      <sz val="11"/>
      <color theme="8"/>
      <name val="Calibri"/>
      <family val="2"/>
      <scheme val="minor"/>
    </font>
    <font>
      <sz val="11"/>
      <color theme="0"/>
      <name val="Calibri"/>
      <family val="2"/>
      <scheme val="minor"/>
    </font>
    <font>
      <vertAlign val="superscript"/>
      <sz val="11"/>
      <color theme="0"/>
      <name val="Calibri"/>
      <family val="2"/>
      <scheme val="minor"/>
    </font>
    <font>
      <b/>
      <sz val="10"/>
      <name val="Roboto"/>
    </font>
  </fonts>
  <fills count="11">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
      <patternFill patternType="solid">
        <fgColor rgb="FF00FFFF"/>
        <bgColor indexed="64"/>
      </patternFill>
    </fill>
    <fill>
      <patternFill patternType="solid">
        <fgColor theme="8"/>
        <bgColor indexed="64"/>
      </patternFill>
    </fill>
    <fill>
      <patternFill patternType="solid">
        <fgColor theme="0" tint="-0.249977111117893"/>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medium">
        <color indexed="64"/>
      </top>
      <bottom style="thin">
        <color indexed="64"/>
      </bottom>
      <diagonal/>
    </border>
    <border>
      <left style="medium">
        <color indexed="64"/>
      </left>
      <right/>
      <top style="thin">
        <color indexed="64"/>
      </top>
      <bottom style="thin">
        <color indexed="64"/>
      </bottom>
      <diagonal/>
    </border>
    <border>
      <left/>
      <right/>
      <top style="medium">
        <color indexed="64"/>
      </top>
      <bottom style="medium">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top style="medium">
        <color indexed="64"/>
      </top>
      <bottom/>
      <diagonal/>
    </border>
    <border>
      <left style="medium">
        <color indexed="64"/>
      </left>
      <right/>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thin">
        <color indexed="64"/>
      </top>
      <bottom style="medium">
        <color indexed="64"/>
      </bottom>
      <diagonal/>
    </border>
    <border>
      <left/>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diagonal/>
    </border>
    <border>
      <left/>
      <right/>
      <top style="medium">
        <color indexed="64"/>
      </top>
      <bottom/>
      <diagonal/>
    </border>
    <border>
      <left style="thin">
        <color indexed="64"/>
      </left>
      <right/>
      <top/>
      <bottom/>
      <diagonal/>
    </border>
    <border>
      <left/>
      <right style="medium">
        <color indexed="64"/>
      </right>
      <top/>
      <bottom/>
      <diagonal/>
    </border>
    <border>
      <left/>
      <right style="medium">
        <color indexed="64"/>
      </right>
      <top/>
      <bottom style="thin">
        <color indexed="64"/>
      </bottom>
      <diagonal/>
    </border>
    <border>
      <left style="medium">
        <color indexed="64"/>
      </left>
      <right/>
      <top style="thin">
        <color indexed="64"/>
      </top>
      <bottom/>
      <diagonal/>
    </border>
    <border>
      <left style="medium">
        <color indexed="64"/>
      </left>
      <right/>
      <top style="medium">
        <color indexed="64"/>
      </top>
      <bottom/>
      <diagonal/>
    </border>
    <border>
      <left style="thin">
        <color indexed="64"/>
      </left>
      <right style="medium">
        <color indexed="64"/>
      </right>
      <top/>
      <bottom style="thin">
        <color indexed="64"/>
      </bottom>
      <diagonal/>
    </border>
    <border>
      <left style="medium">
        <color indexed="64"/>
      </left>
      <right/>
      <top/>
      <bottom/>
      <diagonal/>
    </border>
    <border>
      <left style="thin">
        <color indexed="64"/>
      </left>
      <right style="medium">
        <color indexed="64"/>
      </right>
      <top/>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s>
  <cellStyleXfs count="2">
    <xf numFmtId="0" fontId="0" fillId="0" borderId="0"/>
    <xf numFmtId="9" fontId="2" fillId="0" borderId="0" applyFont="0" applyFill="0" applyBorder="0" applyAlignment="0" applyProtection="0"/>
  </cellStyleXfs>
  <cellXfs count="257">
    <xf numFmtId="0" fontId="0" fillId="0" borderId="0" xfId="0"/>
    <xf numFmtId="0" fontId="0" fillId="0" borderId="0" xfId="0" applyAlignment="1">
      <alignment wrapText="1"/>
    </xf>
    <xf numFmtId="0" fontId="0" fillId="0" borderId="1" xfId="0" applyBorder="1" applyAlignment="1">
      <alignment horizontal="center" wrapText="1"/>
    </xf>
    <xf numFmtId="0" fontId="0" fillId="0" borderId="1" xfId="0" applyBorder="1"/>
    <xf numFmtId="164" fontId="0" fillId="0" borderId="1" xfId="0" applyNumberFormat="1" applyBorder="1" applyAlignment="1">
      <alignment horizontal="center"/>
    </xf>
    <xf numFmtId="0" fontId="0" fillId="0" borderId="1" xfId="0" applyBorder="1" applyAlignment="1">
      <alignment horizontal="center"/>
    </xf>
    <xf numFmtId="0" fontId="0" fillId="2" borderId="1" xfId="0" applyFill="1" applyBorder="1"/>
    <xf numFmtId="0" fontId="0" fillId="0" borderId="1" xfId="0" quotePrefix="1" applyBorder="1" applyAlignment="1">
      <alignment horizontal="center" wrapText="1"/>
    </xf>
    <xf numFmtId="164" fontId="0" fillId="0" borderId="2" xfId="0" applyNumberFormat="1" applyBorder="1" applyAlignment="1">
      <alignment horizontal="center"/>
    </xf>
    <xf numFmtId="164" fontId="0" fillId="0" borderId="3" xfId="0" applyNumberFormat="1" applyBorder="1" applyAlignment="1">
      <alignment horizontal="center"/>
    </xf>
    <xf numFmtId="164" fontId="0" fillId="0" borderId="4" xfId="0" applyNumberFormat="1" applyBorder="1" applyAlignment="1">
      <alignment horizontal="center"/>
    </xf>
    <xf numFmtId="1" fontId="0" fillId="0" borderId="3" xfId="0" applyNumberFormat="1" applyBorder="1"/>
    <xf numFmtId="0" fontId="0" fillId="0" borderId="0" xfId="0" applyAlignment="1">
      <alignment horizontal="center" wrapText="1"/>
    </xf>
    <xf numFmtId="0" fontId="0" fillId="2" borderId="0" xfId="0" applyFill="1" applyAlignment="1">
      <alignment horizontal="center" wrapText="1"/>
    </xf>
    <xf numFmtId="1" fontId="0" fillId="0" borderId="0" xfId="0" applyNumberFormat="1"/>
    <xf numFmtId="166" fontId="0" fillId="0" borderId="0" xfId="0" applyNumberFormat="1"/>
    <xf numFmtId="166" fontId="0" fillId="0" borderId="1" xfId="0" applyNumberFormat="1" applyBorder="1" applyAlignment="1">
      <alignment horizontal="center"/>
    </xf>
    <xf numFmtId="167" fontId="0" fillId="0" borderId="1" xfId="0" applyNumberFormat="1" applyBorder="1" applyAlignment="1">
      <alignment horizontal="center"/>
    </xf>
    <xf numFmtId="0" fontId="0" fillId="0" borderId="0" xfId="0" applyAlignment="1">
      <alignment horizontal="center"/>
    </xf>
    <xf numFmtId="164" fontId="0" fillId="0" borderId="0" xfId="0" applyNumberFormat="1" applyAlignment="1">
      <alignment horizontal="center"/>
    </xf>
    <xf numFmtId="0" fontId="0" fillId="2" borderId="1" xfId="0" applyFill="1" applyBorder="1" applyAlignment="1">
      <alignment wrapText="1"/>
    </xf>
    <xf numFmtId="0" fontId="0" fillId="2" borderId="0" xfId="0" applyFill="1" applyAlignment="1">
      <alignment horizontal="center"/>
    </xf>
    <xf numFmtId="1" fontId="0" fillId="0" borderId="3"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wrapText="1"/>
    </xf>
    <xf numFmtId="0" fontId="0" fillId="0" borderId="3" xfId="0" applyBorder="1" applyAlignment="1">
      <alignment wrapText="1"/>
    </xf>
    <xf numFmtId="0" fontId="0" fillId="2" borderId="0" xfId="0" applyFill="1" applyAlignment="1">
      <alignment wrapText="1"/>
    </xf>
    <xf numFmtId="0" fontId="0" fillId="0" borderId="2" xfId="0" applyBorder="1"/>
    <xf numFmtId="2" fontId="0" fillId="6" borderId="1" xfId="0" applyNumberFormat="1" applyFill="1" applyBorder="1" applyAlignment="1">
      <alignment horizontal="center"/>
    </xf>
    <xf numFmtId="164" fontId="0" fillId="4" borderId="1" xfId="0" applyNumberFormat="1" applyFill="1" applyBorder="1" applyAlignment="1">
      <alignment horizontal="center"/>
    </xf>
    <xf numFmtId="166" fontId="0" fillId="4" borderId="1" xfId="0" applyNumberFormat="1" applyFill="1" applyBorder="1" applyAlignment="1">
      <alignment horizontal="center"/>
    </xf>
    <xf numFmtId="0" fontId="0" fillId="4" borderId="1" xfId="0" applyFill="1" applyBorder="1" applyAlignment="1">
      <alignment horizontal="center" wrapText="1"/>
    </xf>
    <xf numFmtId="0" fontId="0" fillId="4" borderId="1" xfId="0" applyFill="1" applyBorder="1" applyAlignment="1">
      <alignment horizontal="center"/>
    </xf>
    <xf numFmtId="0" fontId="0" fillId="4" borderId="1" xfId="0" applyFill="1" applyBorder="1"/>
    <xf numFmtId="2" fontId="0" fillId="4" borderId="1" xfId="0" applyNumberFormat="1" applyFill="1" applyBorder="1" applyAlignment="1">
      <alignment horizontal="center"/>
    </xf>
    <xf numFmtId="0" fontId="0" fillId="4" borderId="1" xfId="0" quotePrefix="1" applyFill="1" applyBorder="1" applyAlignment="1">
      <alignment horizontal="center" wrapText="1"/>
    </xf>
    <xf numFmtId="165" fontId="0" fillId="0" borderId="0" xfId="1" applyNumberFormat="1" applyFont="1" applyAlignment="1">
      <alignment horizontal="center"/>
    </xf>
    <xf numFmtId="9" fontId="0" fillId="0" borderId="0" xfId="1" applyFont="1" applyAlignment="1">
      <alignment horizontal="center"/>
    </xf>
    <xf numFmtId="166" fontId="0" fillId="4" borderId="1" xfId="0" quotePrefix="1" applyNumberFormat="1" applyFill="1" applyBorder="1" applyAlignment="1">
      <alignment horizontal="center" wrapText="1"/>
    </xf>
    <xf numFmtId="0" fontId="0" fillId="0" borderId="0" xfId="0" applyAlignment="1">
      <alignment horizontal="left" wrapText="1"/>
    </xf>
    <xf numFmtId="9" fontId="0" fillId="0" borderId="0" xfId="1" applyFont="1" applyFill="1" applyAlignment="1">
      <alignment horizontal="left" wrapText="1"/>
    </xf>
    <xf numFmtId="165" fontId="0" fillId="0" borderId="0" xfId="1" applyNumberFormat="1" applyFont="1" applyFill="1" applyAlignment="1">
      <alignment horizontal="left" wrapText="1"/>
    </xf>
    <xf numFmtId="9" fontId="0" fillId="0" borderId="0" xfId="1" applyFont="1" applyAlignment="1">
      <alignment horizontal="center" wrapText="1"/>
    </xf>
    <xf numFmtId="165" fontId="0" fillId="0" borderId="0" xfId="1" applyNumberFormat="1" applyFont="1" applyAlignment="1">
      <alignment horizontal="center" wrapText="1"/>
    </xf>
    <xf numFmtId="0" fontId="0" fillId="0" borderId="0" xfId="0" applyAlignment="1">
      <alignment horizontal="center" vertical="top" wrapText="1"/>
    </xf>
    <xf numFmtId="2" fontId="0" fillId="0" borderId="0" xfId="0" applyNumberFormat="1" applyAlignment="1">
      <alignment horizontal="center" vertical="top" wrapText="1"/>
    </xf>
    <xf numFmtId="164" fontId="0" fillId="0" borderId="0" xfId="0" applyNumberFormat="1" applyAlignment="1">
      <alignment horizontal="center" vertical="top" wrapText="1"/>
    </xf>
    <xf numFmtId="2" fontId="0" fillId="0" borderId="0" xfId="0" applyNumberFormat="1" applyAlignment="1">
      <alignment horizontal="center" vertical="top"/>
    </xf>
    <xf numFmtId="164" fontId="0" fillId="0" borderId="0" xfId="0" applyNumberFormat="1" applyAlignment="1">
      <alignment horizontal="center" vertical="top"/>
    </xf>
    <xf numFmtId="0" fontId="0" fillId="0" borderId="0" xfId="0" applyAlignment="1">
      <alignment horizontal="left" vertical="top" wrapText="1"/>
    </xf>
    <xf numFmtId="9" fontId="0" fillId="0" borderId="0" xfId="1" applyFont="1" applyFill="1" applyAlignment="1">
      <alignment horizontal="left" vertical="top" wrapText="1"/>
    </xf>
    <xf numFmtId="165" fontId="0" fillId="0" borderId="0" xfId="1" applyNumberFormat="1" applyFont="1" applyFill="1" applyAlignment="1">
      <alignment horizontal="left" vertical="top" wrapText="1"/>
    </xf>
    <xf numFmtId="2" fontId="0" fillId="0" borderId="0" xfId="0" applyNumberFormat="1" applyAlignment="1">
      <alignment vertical="top" wrapText="1"/>
    </xf>
    <xf numFmtId="0" fontId="0" fillId="0" borderId="0" xfId="0" applyAlignment="1">
      <alignment vertical="top" wrapText="1"/>
    </xf>
    <xf numFmtId="9" fontId="0" fillId="4" borderId="1" xfId="1" applyFont="1" applyFill="1" applyBorder="1"/>
    <xf numFmtId="165" fontId="0" fillId="4" borderId="1" xfId="1" applyNumberFormat="1" applyFont="1" applyFill="1" applyBorder="1"/>
    <xf numFmtId="9" fontId="0" fillId="0" borderId="1" xfId="1" applyFont="1" applyBorder="1"/>
    <xf numFmtId="165" fontId="0" fillId="0" borderId="1" xfId="1" applyNumberFormat="1" applyFont="1" applyBorder="1"/>
    <xf numFmtId="2" fontId="0" fillId="3" borderId="1" xfId="0" applyNumberFormat="1" applyFill="1" applyBorder="1" applyAlignment="1">
      <alignment horizontal="center"/>
    </xf>
    <xf numFmtId="2" fontId="0" fillId="5" borderId="1" xfId="0" applyNumberFormat="1" applyFill="1" applyBorder="1" applyAlignment="1">
      <alignment horizontal="center"/>
    </xf>
    <xf numFmtId="166" fontId="0" fillId="0" borderId="0" xfId="0" applyNumberFormat="1" applyAlignment="1">
      <alignment horizontal="center" vertical="top" wrapText="1"/>
    </xf>
    <xf numFmtId="9" fontId="0" fillId="0" borderId="0" xfId="1" applyFont="1" applyFill="1" applyBorder="1" applyAlignment="1">
      <alignment horizontal="center" vertical="top" wrapText="1"/>
    </xf>
    <xf numFmtId="1" fontId="0" fillId="0" borderId="0" xfId="0" applyNumberFormat="1" applyAlignment="1">
      <alignment horizontal="center" vertical="top" wrapText="1"/>
    </xf>
    <xf numFmtId="1" fontId="0" fillId="0" borderId="3" xfId="0" applyNumberFormat="1" applyBorder="1" applyAlignment="1">
      <alignment vertical="top" wrapText="1"/>
    </xf>
    <xf numFmtId="1" fontId="0" fillId="0" borderId="0" xfId="0" applyNumberFormat="1" applyAlignment="1">
      <alignment vertical="top" wrapText="1"/>
    </xf>
    <xf numFmtId="166" fontId="0" fillId="0" borderId="0" xfId="0" applyNumberFormat="1" applyAlignment="1">
      <alignment vertical="top" wrapText="1"/>
    </xf>
    <xf numFmtId="165" fontId="0" fillId="0" borderId="0" xfId="1" applyNumberFormat="1" applyFont="1" applyFill="1" applyBorder="1" applyAlignment="1">
      <alignment horizontal="center" vertical="top" wrapText="1"/>
    </xf>
    <xf numFmtId="0" fontId="0" fillId="2" borderId="8" xfId="0" applyFill="1" applyBorder="1" applyAlignment="1">
      <alignment wrapText="1"/>
    </xf>
    <xf numFmtId="0" fontId="0" fillId="2" borderId="8" xfId="0" applyFill="1" applyBorder="1"/>
    <xf numFmtId="0" fontId="0" fillId="2" borderId="10" xfId="0" applyFill="1" applyBorder="1"/>
    <xf numFmtId="164" fontId="0" fillId="0" borderId="11" xfId="0" applyNumberFormat="1" applyBorder="1" applyAlignment="1">
      <alignment horizontal="center"/>
    </xf>
    <xf numFmtId="166" fontId="0" fillId="0" borderId="11" xfId="0" applyNumberFormat="1" applyBorder="1" applyAlignment="1">
      <alignment horizontal="center"/>
    </xf>
    <xf numFmtId="0" fontId="0" fillId="0" borderId="11" xfId="0" applyBorder="1" applyAlignment="1">
      <alignment horizontal="center" wrapText="1"/>
    </xf>
    <xf numFmtId="0" fontId="0" fillId="2" borderId="4" xfId="0" applyFill="1" applyBorder="1" applyAlignment="1">
      <alignment horizontal="center" wrapText="1"/>
    </xf>
    <xf numFmtId="0" fontId="0" fillId="3" borderId="0" xfId="0" applyFill="1"/>
    <xf numFmtId="164" fontId="0" fillId="7" borderId="1" xfId="0" applyNumberFormat="1" applyFill="1" applyBorder="1" applyAlignment="1">
      <alignment horizontal="center"/>
    </xf>
    <xf numFmtId="0" fontId="0" fillId="7" borderId="0" xfId="0" applyFill="1"/>
    <xf numFmtId="0" fontId="0" fillId="3" borderId="0" xfId="0" applyFill="1" applyAlignment="1">
      <alignment horizontal="center"/>
    </xf>
    <xf numFmtId="0" fontId="0" fillId="3" borderId="1" xfId="0" applyFill="1" applyBorder="1" applyAlignment="1">
      <alignment horizontal="center"/>
    </xf>
    <xf numFmtId="164" fontId="5" fillId="5" borderId="1" xfId="0" applyNumberFormat="1" applyFont="1" applyFill="1" applyBorder="1" applyAlignment="1">
      <alignment horizontal="center"/>
    </xf>
    <xf numFmtId="164" fontId="0" fillId="5" borderId="1" xfId="0" applyNumberFormat="1" applyFill="1" applyBorder="1" applyAlignment="1">
      <alignment horizontal="center"/>
    </xf>
    <xf numFmtId="0" fontId="6" fillId="0" borderId="0" xfId="0" applyFont="1"/>
    <xf numFmtId="0" fontId="0" fillId="0" borderId="0" xfId="0" applyAlignment="1">
      <alignment horizontal="right"/>
    </xf>
    <xf numFmtId="0" fontId="6" fillId="0" borderId="0" xfId="0" applyFont="1" applyAlignment="1">
      <alignment horizontal="left"/>
    </xf>
    <xf numFmtId="0" fontId="0" fillId="7" borderId="1" xfId="0" quotePrefix="1" applyFill="1" applyBorder="1" applyAlignment="1">
      <alignment horizontal="center" wrapText="1"/>
    </xf>
    <xf numFmtId="2" fontId="0" fillId="7" borderId="1" xfId="0" applyNumberFormat="1" applyFill="1" applyBorder="1" applyAlignment="1">
      <alignment horizontal="center"/>
    </xf>
    <xf numFmtId="0" fontId="0" fillId="8" borderId="0" xfId="0" applyFill="1"/>
    <xf numFmtId="0" fontId="0" fillId="0" borderId="2" xfId="0" applyBorder="1" applyAlignment="1">
      <alignment horizontal="center" wrapText="1"/>
    </xf>
    <xf numFmtId="0" fontId="0" fillId="2" borderId="0" xfId="0" applyFill="1"/>
    <xf numFmtId="0" fontId="0" fillId="7" borderId="1" xfId="0" quotePrefix="1" applyFill="1" applyBorder="1" applyAlignment="1">
      <alignment horizontal="center"/>
    </xf>
    <xf numFmtId="0" fontId="0" fillId="0" borderId="1" xfId="0" quotePrefix="1" applyBorder="1" applyAlignment="1">
      <alignment horizontal="center"/>
    </xf>
    <xf numFmtId="0" fontId="0" fillId="0" borderId="11" xfId="0" applyBorder="1" applyAlignment="1">
      <alignment horizontal="center"/>
    </xf>
    <xf numFmtId="0" fontId="0" fillId="0" borderId="8" xfId="0" applyBorder="1" applyAlignment="1">
      <alignment horizontal="center" wrapText="1"/>
    </xf>
    <xf numFmtId="0" fontId="0" fillId="0" borderId="10" xfId="0" applyBorder="1" applyAlignment="1">
      <alignment horizontal="center" wrapText="1"/>
    </xf>
    <xf numFmtId="166" fontId="0" fillId="0" borderId="1" xfId="0" quotePrefix="1" applyNumberFormat="1" applyBorder="1" applyAlignment="1">
      <alignment horizontal="center" wrapText="1"/>
    </xf>
    <xf numFmtId="1" fontId="0" fillId="0" borderId="1" xfId="0" applyNumberFormat="1" applyBorder="1" applyAlignment="1">
      <alignment horizontal="center"/>
    </xf>
    <xf numFmtId="1" fontId="0" fillId="0" borderId="9" xfId="0" applyNumberFormat="1" applyBorder="1" applyAlignment="1">
      <alignment horizontal="center"/>
    </xf>
    <xf numFmtId="164" fontId="0" fillId="0" borderId="1" xfId="0" quotePrefix="1" applyNumberFormat="1" applyBorder="1" applyAlignment="1">
      <alignment horizontal="center"/>
    </xf>
    <xf numFmtId="164" fontId="0" fillId="0" borderId="1" xfId="0" quotePrefix="1" applyNumberFormat="1" applyBorder="1" applyAlignment="1">
      <alignment horizontal="center" wrapText="1"/>
    </xf>
    <xf numFmtId="2" fontId="0" fillId="0" borderId="1" xfId="0" quotePrefix="1" applyNumberFormat="1" applyBorder="1" applyAlignment="1">
      <alignment horizontal="center"/>
    </xf>
    <xf numFmtId="0" fontId="0" fillId="0" borderId="11" xfId="0" applyBorder="1"/>
    <xf numFmtId="2" fontId="0" fillId="0" borderId="11" xfId="0" applyNumberFormat="1" applyBorder="1" applyAlignment="1">
      <alignment horizontal="center"/>
    </xf>
    <xf numFmtId="1" fontId="0" fillId="0" borderId="11" xfId="0" applyNumberFormat="1" applyBorder="1" applyAlignment="1">
      <alignment horizontal="center"/>
    </xf>
    <xf numFmtId="1" fontId="0" fillId="0" borderId="12" xfId="0" applyNumberFormat="1" applyBorder="1" applyAlignment="1">
      <alignment horizontal="center"/>
    </xf>
    <xf numFmtId="0" fontId="7" fillId="9" borderId="15" xfId="0" applyFont="1" applyFill="1" applyBorder="1" applyAlignment="1">
      <alignment horizontal="left" wrapText="1"/>
    </xf>
    <xf numFmtId="0" fontId="7" fillId="9" borderId="8" xfId="0" applyFont="1" applyFill="1" applyBorder="1" applyAlignment="1">
      <alignment wrapText="1"/>
    </xf>
    <xf numFmtId="0" fontId="7" fillId="9" borderId="1" xfId="0" applyFont="1" applyFill="1" applyBorder="1" applyAlignment="1">
      <alignment horizontal="center" wrapText="1"/>
    </xf>
    <xf numFmtId="0" fontId="7" fillId="9" borderId="9" xfId="0" applyFont="1" applyFill="1" applyBorder="1" applyAlignment="1">
      <alignment horizontal="center" wrapText="1"/>
    </xf>
    <xf numFmtId="0" fontId="7" fillId="9" borderId="3" xfId="0" applyFont="1" applyFill="1" applyBorder="1" applyAlignment="1">
      <alignment horizontal="center" wrapText="1"/>
    </xf>
    <xf numFmtId="0" fontId="7" fillId="9" borderId="8" xfId="0" applyFont="1" applyFill="1" applyBorder="1"/>
    <xf numFmtId="0" fontId="7" fillId="9" borderId="10" xfId="0" applyFont="1" applyFill="1" applyBorder="1"/>
    <xf numFmtId="0" fontId="7" fillId="9" borderId="8" xfId="0" applyFont="1" applyFill="1" applyBorder="1" applyAlignment="1">
      <alignment horizontal="center" wrapText="1"/>
    </xf>
    <xf numFmtId="1" fontId="0" fillId="0" borderId="23" xfId="0" applyNumberFormat="1" applyBorder="1"/>
    <xf numFmtId="0" fontId="3" fillId="0" borderId="15" xfId="0" applyFont="1" applyBorder="1"/>
    <xf numFmtId="0" fontId="3" fillId="0" borderId="20" xfId="0" applyFont="1" applyBorder="1"/>
    <xf numFmtId="0" fontId="0" fillId="2" borderId="4" xfId="0" applyFill="1" applyBorder="1" applyAlignment="1">
      <alignment horizontal="center"/>
    </xf>
    <xf numFmtId="0" fontId="0" fillId="2" borderId="1"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2" borderId="5" xfId="0" applyFill="1" applyBorder="1" applyAlignment="1">
      <alignment horizontal="center"/>
    </xf>
    <xf numFmtId="0" fontId="0" fillId="0" borderId="1" xfId="0" applyBorder="1" applyAlignment="1">
      <alignment wrapText="1"/>
    </xf>
    <xf numFmtId="1" fontId="0" fillId="0" borderId="1" xfId="0" applyNumberFormat="1" applyBorder="1"/>
    <xf numFmtId="0" fontId="0" fillId="0" borderId="15" xfId="0" applyBorder="1" applyAlignment="1">
      <alignment horizontal="center"/>
    </xf>
    <xf numFmtId="0" fontId="0" fillId="0" borderId="16" xfId="0" applyBorder="1" applyAlignment="1">
      <alignment horizontal="center"/>
    </xf>
    <xf numFmtId="0" fontId="0" fillId="0" borderId="16" xfId="0" applyBorder="1"/>
    <xf numFmtId="0" fontId="0" fillId="3" borderId="16" xfId="0" applyFill="1" applyBorder="1" applyAlignment="1">
      <alignment wrapText="1"/>
    </xf>
    <xf numFmtId="0" fontId="0" fillId="3" borderId="16" xfId="0" applyFill="1" applyBorder="1"/>
    <xf numFmtId="0" fontId="7" fillId="9" borderId="8" xfId="0" applyFont="1" applyFill="1" applyBorder="1" applyAlignment="1">
      <alignment horizontal="left" wrapText="1"/>
    </xf>
    <xf numFmtId="0" fontId="0" fillId="0" borderId="8" xfId="0" applyBorder="1"/>
    <xf numFmtId="0" fontId="0" fillId="4" borderId="8" xfId="0" applyFill="1" applyBorder="1"/>
    <xf numFmtId="0" fontId="0" fillId="0" borderId="10" xfId="0" applyBorder="1"/>
    <xf numFmtId="2" fontId="0" fillId="5" borderId="11" xfId="0" applyNumberFormat="1" applyFill="1" applyBorder="1" applyAlignment="1">
      <alignment horizontal="center"/>
    </xf>
    <xf numFmtId="9" fontId="0" fillId="0" borderId="11" xfId="1" applyFont="1" applyBorder="1"/>
    <xf numFmtId="165" fontId="0" fillId="0" borderId="11" xfId="1" applyNumberFormat="1" applyFont="1" applyBorder="1"/>
    <xf numFmtId="0" fontId="7" fillId="9" borderId="20" xfId="0" applyFont="1" applyFill="1" applyBorder="1" applyAlignment="1">
      <alignment horizontal="center" wrapText="1"/>
    </xf>
    <xf numFmtId="0" fontId="7" fillId="9" borderId="21" xfId="0" applyFont="1" applyFill="1" applyBorder="1" applyAlignment="1">
      <alignment horizontal="center" wrapText="1"/>
    </xf>
    <xf numFmtId="0" fontId="0" fillId="0" borderId="8" xfId="0" quotePrefix="1" applyBorder="1" applyAlignment="1">
      <alignment horizontal="center" wrapText="1"/>
    </xf>
    <xf numFmtId="1" fontId="0" fillId="0" borderId="8" xfId="0" applyNumberFormat="1" applyBorder="1" applyAlignment="1">
      <alignment horizontal="center"/>
    </xf>
    <xf numFmtId="1" fontId="0" fillId="0" borderId="10" xfId="0" applyNumberFormat="1" applyBorder="1" applyAlignment="1">
      <alignment horizontal="center"/>
    </xf>
    <xf numFmtId="0" fontId="0" fillId="0" borderId="9" xfId="0" applyBorder="1" applyAlignment="1">
      <alignment horizontal="center" wrapText="1"/>
    </xf>
    <xf numFmtId="0" fontId="0" fillId="0" borderId="12" xfId="0" applyBorder="1" applyAlignment="1">
      <alignment horizontal="center" wrapText="1"/>
    </xf>
    <xf numFmtId="0" fontId="0" fillId="0" borderId="22" xfId="0" applyBorder="1" applyAlignment="1">
      <alignment horizontal="center"/>
    </xf>
    <xf numFmtId="0" fontId="0" fillId="0" borderId="13" xfId="0" applyBorder="1"/>
    <xf numFmtId="0" fontId="7" fillId="9" borderId="19" xfId="0" applyFont="1" applyFill="1" applyBorder="1" applyAlignment="1">
      <alignment horizontal="center" wrapText="1"/>
    </xf>
    <xf numFmtId="0" fontId="7" fillId="9" borderId="4" xfId="0" applyFont="1" applyFill="1" applyBorder="1" applyAlignment="1">
      <alignment horizontal="center" wrapText="1"/>
    </xf>
    <xf numFmtId="0" fontId="0" fillId="0" borderId="4" xfId="0" applyBorder="1" applyAlignment="1">
      <alignment horizontal="center" wrapText="1"/>
    </xf>
    <xf numFmtId="0" fontId="0" fillId="0" borderId="14" xfId="0" applyBorder="1" applyAlignment="1">
      <alignment horizontal="center" wrapText="1"/>
    </xf>
    <xf numFmtId="9" fontId="0" fillId="0" borderId="9" xfId="1" quotePrefix="1" applyFont="1" applyFill="1" applyBorder="1" applyAlignment="1">
      <alignment horizontal="center"/>
    </xf>
    <xf numFmtId="9" fontId="0" fillId="0" borderId="9" xfId="1" applyFont="1" applyFill="1" applyBorder="1" applyAlignment="1">
      <alignment horizontal="center"/>
    </xf>
    <xf numFmtId="9" fontId="5" fillId="0" borderId="9" xfId="1" applyFont="1" applyFill="1" applyBorder="1" applyAlignment="1">
      <alignment horizontal="center"/>
    </xf>
    <xf numFmtId="9" fontId="0" fillId="0" borderId="12" xfId="1" applyFont="1" applyFill="1" applyBorder="1" applyAlignment="1">
      <alignment horizontal="center"/>
    </xf>
    <xf numFmtId="0" fontId="0" fillId="0" borderId="25" xfId="0" applyBorder="1" applyAlignment="1">
      <alignment horizontal="center" wrapText="1"/>
    </xf>
    <xf numFmtId="0" fontId="0" fillId="0" borderId="26" xfId="0" applyBorder="1" applyAlignment="1">
      <alignment horizontal="center"/>
    </xf>
    <xf numFmtId="0" fontId="0" fillId="0" borderId="26" xfId="0" applyBorder="1"/>
    <xf numFmtId="0" fontId="0" fillId="3" borderId="26" xfId="0" applyFill="1" applyBorder="1" applyAlignment="1">
      <alignment wrapText="1"/>
    </xf>
    <xf numFmtId="0" fontId="0" fillId="3" borderId="26" xfId="0" applyFill="1" applyBorder="1"/>
    <xf numFmtId="0" fontId="0" fillId="0" borderId="25" xfId="0" applyBorder="1" applyAlignment="1">
      <alignment horizontal="center"/>
    </xf>
    <xf numFmtId="0" fontId="7" fillId="9" borderId="27" xfId="0" applyFont="1" applyFill="1" applyBorder="1" applyAlignment="1">
      <alignment horizontal="center" wrapText="1"/>
    </xf>
    <xf numFmtId="0" fontId="3" fillId="0" borderId="28" xfId="0" applyFont="1" applyBorder="1"/>
    <xf numFmtId="0" fontId="3" fillId="0" borderId="19" xfId="0" applyFont="1" applyBorder="1"/>
    <xf numFmtId="0" fontId="0" fillId="0" borderId="4" xfId="0" applyBorder="1" applyAlignment="1">
      <alignment horizontal="center"/>
    </xf>
    <xf numFmtId="0" fontId="0" fillId="0" borderId="24" xfId="0" applyBorder="1" applyAlignment="1">
      <alignment vertical="top" wrapText="1"/>
    </xf>
    <xf numFmtId="0" fontId="0" fillId="0" borderId="30" xfId="0" applyBorder="1" applyAlignment="1">
      <alignment vertical="top" wrapText="1"/>
    </xf>
    <xf numFmtId="0" fontId="0" fillId="2" borderId="3" xfId="0" applyFill="1" applyBorder="1"/>
    <xf numFmtId="0" fontId="0" fillId="2" borderId="31" xfId="0" applyFill="1" applyBorder="1"/>
    <xf numFmtId="0" fontId="0" fillId="0" borderId="24" xfId="0" applyBorder="1" applyAlignment="1">
      <alignment horizontal="left" vertical="top" wrapText="1"/>
    </xf>
    <xf numFmtId="0" fontId="7" fillId="9" borderId="15" xfId="0" applyFont="1" applyFill="1" applyBorder="1" applyAlignment="1">
      <alignment horizontal="center" wrapText="1"/>
    </xf>
    <xf numFmtId="0" fontId="7" fillId="9" borderId="18" xfId="0" applyFont="1" applyFill="1" applyBorder="1" applyAlignment="1">
      <alignment horizontal="left" wrapText="1"/>
    </xf>
    <xf numFmtId="0" fontId="7" fillId="9" borderId="4" xfId="0" applyFont="1" applyFill="1" applyBorder="1" applyAlignment="1">
      <alignment horizontal="left" wrapText="1"/>
    </xf>
    <xf numFmtId="0" fontId="7" fillId="9" borderId="34" xfId="0" applyFont="1" applyFill="1" applyBorder="1" applyAlignment="1">
      <alignment horizontal="center" wrapText="1"/>
    </xf>
    <xf numFmtId="0" fontId="9" fillId="0" borderId="0" xfId="0" applyFont="1"/>
    <xf numFmtId="1" fontId="0" fillId="0" borderId="1" xfId="0" quotePrefix="1" applyNumberFormat="1" applyBorder="1" applyAlignment="1">
      <alignment horizontal="center"/>
    </xf>
    <xf numFmtId="0" fontId="7" fillId="9" borderId="34" xfId="0" applyFont="1" applyFill="1" applyBorder="1" applyAlignment="1">
      <alignment wrapText="1"/>
    </xf>
    <xf numFmtId="0" fontId="7" fillId="9" borderId="26" xfId="0" applyFont="1" applyFill="1" applyBorder="1" applyAlignment="1">
      <alignment wrapText="1"/>
    </xf>
    <xf numFmtId="0" fontId="7" fillId="9" borderId="2" xfId="0" applyFont="1" applyFill="1" applyBorder="1" applyAlignment="1">
      <alignment horizontal="center" wrapText="1"/>
    </xf>
    <xf numFmtId="0" fontId="0" fillId="2" borderId="2" xfId="0" applyFill="1" applyBorder="1" applyAlignment="1">
      <alignment horizontal="center" wrapText="1"/>
    </xf>
    <xf numFmtId="0" fontId="0" fillId="2" borderId="3" xfId="0" applyFill="1" applyBorder="1" applyAlignment="1">
      <alignment horizontal="center" wrapText="1"/>
    </xf>
    <xf numFmtId="0" fontId="0" fillId="2" borderId="8" xfId="0" applyFill="1" applyBorder="1" applyAlignment="1">
      <alignment horizontal="center" wrapText="1"/>
    </xf>
    <xf numFmtId="0" fontId="0" fillId="2" borderId="5" xfId="0" applyFill="1" applyBorder="1" applyAlignment="1">
      <alignment horizontal="center" wrapText="1"/>
    </xf>
    <xf numFmtId="9" fontId="7" fillId="9" borderId="1" xfId="1" applyFont="1" applyFill="1" applyBorder="1" applyAlignment="1">
      <alignment horizontal="center" wrapText="1"/>
    </xf>
    <xf numFmtId="0" fontId="7" fillId="9" borderId="1" xfId="0" applyFont="1" applyFill="1" applyBorder="1" applyAlignment="1">
      <alignment horizontal="center"/>
    </xf>
    <xf numFmtId="0" fontId="7" fillId="9" borderId="2" xfId="0" applyFont="1" applyFill="1" applyBorder="1" applyAlignment="1">
      <alignment horizontal="center"/>
    </xf>
    <xf numFmtId="0" fontId="0" fillId="2" borderId="8" xfId="0" applyFill="1" applyBorder="1" applyAlignment="1">
      <alignment horizontal="center"/>
    </xf>
    <xf numFmtId="0" fontId="0" fillId="0" borderId="6" xfId="0" applyBorder="1" applyAlignment="1">
      <alignment vertical="top" wrapText="1"/>
    </xf>
    <xf numFmtId="1" fontId="0" fillId="0" borderId="8" xfId="0" applyNumberFormat="1" applyBorder="1"/>
    <xf numFmtId="1" fontId="0" fillId="0" borderId="4" xfId="0" applyNumberFormat="1" applyBorder="1"/>
    <xf numFmtId="1" fontId="0" fillId="0" borderId="9" xfId="0" applyNumberFormat="1" applyBorder="1"/>
    <xf numFmtId="0" fontId="7" fillId="9" borderId="27" xfId="0" applyFont="1" applyFill="1" applyBorder="1" applyAlignment="1">
      <alignment wrapText="1"/>
    </xf>
    <xf numFmtId="0" fontId="7" fillId="9" borderId="39" xfId="0" applyFont="1" applyFill="1" applyBorder="1" applyAlignment="1">
      <alignment wrapText="1"/>
    </xf>
    <xf numFmtId="0" fontId="7" fillId="9" borderId="38" xfId="0" applyFont="1" applyFill="1" applyBorder="1" applyAlignment="1">
      <alignment wrapText="1"/>
    </xf>
    <xf numFmtId="0" fontId="7" fillId="9" borderId="40" xfId="0" applyFont="1" applyFill="1" applyBorder="1" applyAlignment="1">
      <alignment wrapText="1"/>
    </xf>
    <xf numFmtId="0" fontId="7" fillId="9" borderId="0" xfId="0" applyFont="1" applyFill="1" applyAlignment="1">
      <alignment wrapText="1"/>
    </xf>
    <xf numFmtId="0" fontId="7" fillId="9" borderId="41" xfId="0" applyFont="1" applyFill="1" applyBorder="1" applyAlignment="1">
      <alignment wrapText="1"/>
    </xf>
    <xf numFmtId="0" fontId="7" fillId="9" borderId="25" xfId="0" applyFont="1" applyFill="1" applyBorder="1" applyAlignment="1">
      <alignment wrapText="1"/>
    </xf>
    <xf numFmtId="0" fontId="7" fillId="9" borderId="5" xfId="0" applyFont="1" applyFill="1" applyBorder="1" applyAlignment="1">
      <alignment wrapText="1"/>
    </xf>
    <xf numFmtId="0" fontId="7" fillId="9" borderId="42" xfId="0" applyFont="1" applyFill="1" applyBorder="1" applyAlignment="1">
      <alignment wrapText="1"/>
    </xf>
    <xf numFmtId="0" fontId="7" fillId="9" borderId="33" xfId="0" applyFont="1" applyFill="1" applyBorder="1" applyAlignment="1">
      <alignment wrapText="1"/>
    </xf>
    <xf numFmtId="0" fontId="7" fillId="9" borderId="35" xfId="0" applyFont="1" applyFill="1" applyBorder="1" applyAlignment="1">
      <alignment wrapText="1"/>
    </xf>
    <xf numFmtId="1" fontId="0" fillId="0" borderId="2" xfId="0" applyNumberFormat="1" applyBorder="1"/>
    <xf numFmtId="0" fontId="7" fillId="9" borderId="19" xfId="0" applyFont="1" applyFill="1" applyBorder="1" applyAlignment="1">
      <alignment wrapText="1"/>
    </xf>
    <xf numFmtId="0" fontId="7" fillId="9" borderId="20" xfId="0" applyFont="1" applyFill="1" applyBorder="1" applyAlignment="1">
      <alignment wrapText="1"/>
    </xf>
    <xf numFmtId="0" fontId="7" fillId="9" borderId="18" xfId="0" applyFont="1" applyFill="1" applyBorder="1" applyAlignment="1">
      <alignment wrapText="1"/>
    </xf>
    <xf numFmtId="0" fontId="7" fillId="9" borderId="22" xfId="0" applyFont="1" applyFill="1" applyBorder="1" applyAlignment="1">
      <alignment wrapText="1"/>
    </xf>
    <xf numFmtId="0" fontId="0" fillId="0" borderId="13" xfId="0" applyBorder="1" applyAlignment="1">
      <alignment horizontal="center" wrapText="1"/>
    </xf>
    <xf numFmtId="0" fontId="0" fillId="0" borderId="4" xfId="0" quotePrefix="1" applyBorder="1" applyAlignment="1">
      <alignment horizontal="center" wrapText="1"/>
    </xf>
    <xf numFmtId="0" fontId="0" fillId="0" borderId="4" xfId="0" applyBorder="1"/>
    <xf numFmtId="0" fontId="0" fillId="0" borderId="14" xfId="0" applyBorder="1"/>
    <xf numFmtId="0" fontId="7" fillId="9" borderId="21" xfId="0" applyFont="1" applyFill="1" applyBorder="1" applyAlignment="1">
      <alignment wrapText="1"/>
    </xf>
    <xf numFmtId="0" fontId="0" fillId="0" borderId="0" xfId="0" quotePrefix="1" applyAlignment="1">
      <alignment horizontal="center"/>
    </xf>
    <xf numFmtId="0" fontId="7" fillId="9" borderId="44" xfId="0" applyFont="1" applyFill="1" applyBorder="1" applyAlignment="1">
      <alignment wrapText="1"/>
    </xf>
    <xf numFmtId="0" fontId="7" fillId="9" borderId="43" xfId="0" applyFont="1" applyFill="1" applyBorder="1" applyAlignment="1">
      <alignment horizontal="left" wrapText="1"/>
    </xf>
    <xf numFmtId="0" fontId="7" fillId="9" borderId="6" xfId="0" applyFont="1" applyFill="1" applyBorder="1" applyAlignment="1">
      <alignment horizontal="left" wrapText="1"/>
    </xf>
    <xf numFmtId="0" fontId="7" fillId="9" borderId="48" xfId="0" applyFont="1" applyFill="1" applyBorder="1" applyAlignment="1">
      <alignment wrapText="1"/>
    </xf>
    <xf numFmtId="0" fontId="0" fillId="0" borderId="11" xfId="0" quotePrefix="1" applyBorder="1" applyAlignment="1">
      <alignment horizontal="center" wrapText="1"/>
    </xf>
    <xf numFmtId="0" fontId="0" fillId="10" borderId="15" xfId="0" applyFill="1" applyBorder="1" applyAlignment="1">
      <alignment horizontal="center"/>
    </xf>
    <xf numFmtId="0" fontId="0" fillId="10" borderId="16" xfId="0" applyFill="1" applyBorder="1" applyAlignment="1">
      <alignment horizontal="center"/>
    </xf>
    <xf numFmtId="0" fontId="0" fillId="10" borderId="17" xfId="0" applyFill="1" applyBorder="1" applyAlignment="1">
      <alignment horizontal="center"/>
    </xf>
    <xf numFmtId="0" fontId="0" fillId="0" borderId="9" xfId="0" applyBorder="1"/>
    <xf numFmtId="0" fontId="0" fillId="0" borderId="12" xfId="0" applyBorder="1"/>
    <xf numFmtId="0" fontId="0" fillId="0" borderId="6" xfId="0" applyBorder="1" applyAlignment="1">
      <alignment horizontal="left" vertical="top" wrapText="1"/>
    </xf>
    <xf numFmtId="0" fontId="0" fillId="0" borderId="24" xfId="0" applyBorder="1" applyAlignment="1">
      <alignment horizontal="left" vertical="top" wrapText="1"/>
    </xf>
    <xf numFmtId="0" fontId="0" fillId="0" borderId="7" xfId="0" applyBorder="1" applyAlignment="1">
      <alignment horizontal="left" vertical="top" wrapText="1"/>
    </xf>
    <xf numFmtId="1" fontId="0" fillId="0" borderId="23" xfId="0" applyNumberFormat="1" applyBorder="1" applyAlignment="1">
      <alignment horizontal="center"/>
    </xf>
    <xf numFmtId="1" fontId="0" fillId="0" borderId="3" xfId="0" applyNumberFormat="1" applyBorder="1" applyAlignment="1">
      <alignment horizontal="center"/>
    </xf>
    <xf numFmtId="1" fontId="0" fillId="0" borderId="29" xfId="0" applyNumberFormat="1" applyBorder="1" applyAlignment="1">
      <alignment horizontal="center"/>
    </xf>
    <xf numFmtId="0" fontId="0" fillId="0" borderId="16" xfId="0" applyBorder="1" applyAlignment="1">
      <alignment horizontal="center"/>
    </xf>
    <xf numFmtId="0" fontId="7" fillId="9" borderId="16" xfId="0" applyFont="1" applyFill="1" applyBorder="1" applyAlignment="1">
      <alignment horizontal="center" wrapText="1"/>
    </xf>
    <xf numFmtId="0" fontId="7" fillId="9" borderId="49" xfId="0" applyFont="1" applyFill="1" applyBorder="1" applyAlignment="1">
      <alignment horizontal="center" wrapText="1"/>
    </xf>
    <xf numFmtId="0" fontId="7" fillId="9" borderId="35" xfId="0" applyFont="1" applyFill="1" applyBorder="1" applyAlignment="1">
      <alignment horizontal="center" wrapText="1"/>
    </xf>
    <xf numFmtId="0" fontId="7" fillId="9" borderId="22" xfId="0" applyFont="1" applyFill="1" applyBorder="1" applyAlignment="1">
      <alignment horizontal="center" wrapText="1"/>
    </xf>
    <xf numFmtId="0" fontId="7" fillId="9" borderId="32" xfId="0" applyFont="1" applyFill="1" applyBorder="1" applyAlignment="1">
      <alignment horizontal="center" wrapText="1"/>
    </xf>
    <xf numFmtId="0" fontId="7" fillId="9" borderId="36" xfId="0" applyFont="1" applyFill="1" applyBorder="1" applyAlignment="1">
      <alignment horizontal="center" wrapText="1"/>
    </xf>
    <xf numFmtId="0" fontId="0" fillId="0" borderId="0" xfId="0" applyAlignment="1">
      <alignment horizontal="center" vertical="top" wrapText="1"/>
    </xf>
    <xf numFmtId="0" fontId="7" fillId="9" borderId="15" xfId="0" applyFont="1" applyFill="1" applyBorder="1" applyAlignment="1">
      <alignment horizontal="center" wrapText="1"/>
    </xf>
    <xf numFmtId="0" fontId="7" fillId="9" borderId="17" xfId="0" applyFont="1" applyFill="1" applyBorder="1" applyAlignment="1">
      <alignment horizontal="center" wrapText="1"/>
    </xf>
    <xf numFmtId="0" fontId="7" fillId="9" borderId="8" xfId="0" applyFont="1" applyFill="1" applyBorder="1" applyAlignment="1">
      <alignment horizontal="center" wrapText="1"/>
    </xf>
    <xf numFmtId="0" fontId="0" fillId="2" borderId="0" xfId="0" applyFill="1" applyAlignment="1">
      <alignment horizontal="center"/>
    </xf>
    <xf numFmtId="0" fontId="7" fillId="9" borderId="20" xfId="0" applyFont="1" applyFill="1" applyBorder="1" applyAlignment="1">
      <alignment horizontal="center" wrapText="1"/>
    </xf>
    <xf numFmtId="0" fontId="7" fillId="9" borderId="26" xfId="0" applyFont="1" applyFill="1" applyBorder="1" applyAlignment="1">
      <alignment horizontal="center" wrapText="1"/>
    </xf>
    <xf numFmtId="1" fontId="0" fillId="0" borderId="2" xfId="0" applyNumberFormat="1" applyBorder="1" applyAlignment="1">
      <alignment horizontal="center"/>
    </xf>
    <xf numFmtId="0" fontId="0" fillId="2" borderId="5"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7" fillId="9" borderId="19" xfId="0" applyFont="1" applyFill="1" applyBorder="1" applyAlignment="1">
      <alignment horizontal="center" wrapText="1"/>
    </xf>
    <xf numFmtId="0" fontId="7" fillId="9" borderId="21" xfId="0" applyFont="1" applyFill="1" applyBorder="1" applyAlignment="1">
      <alignment horizontal="center" wrapText="1"/>
    </xf>
    <xf numFmtId="0" fontId="7" fillId="9" borderId="46" xfId="0" applyFont="1" applyFill="1" applyBorder="1" applyAlignment="1">
      <alignment horizontal="center" wrapText="1"/>
    </xf>
    <xf numFmtId="0" fontId="7" fillId="9" borderId="28" xfId="0" applyFont="1" applyFill="1" applyBorder="1" applyAlignment="1">
      <alignment horizontal="center" wrapText="1"/>
    </xf>
    <xf numFmtId="0" fontId="7" fillId="9" borderId="37" xfId="0" applyFont="1" applyFill="1" applyBorder="1" applyAlignment="1">
      <alignment horizontal="center" wrapText="1"/>
    </xf>
    <xf numFmtId="0" fontId="7" fillId="9" borderId="18" xfId="0" applyFont="1" applyFill="1" applyBorder="1" applyAlignment="1">
      <alignment horizontal="center" wrapText="1"/>
    </xf>
    <xf numFmtId="0" fontId="7" fillId="9" borderId="47" xfId="0" applyFont="1" applyFill="1" applyBorder="1" applyAlignment="1">
      <alignment horizontal="center" wrapText="1"/>
    </xf>
    <xf numFmtId="0" fontId="7" fillId="9" borderId="45" xfId="0" applyFont="1" applyFill="1" applyBorder="1" applyAlignment="1">
      <alignment horizontal="center" wrapText="1"/>
    </xf>
    <xf numFmtId="0" fontId="7" fillId="9" borderId="33" xfId="0" applyFont="1" applyFill="1" applyBorder="1" applyAlignment="1">
      <alignment horizontal="center" wrapText="1"/>
    </xf>
    <xf numFmtId="0" fontId="7" fillId="9" borderId="34" xfId="0" applyFont="1" applyFill="1" applyBorder="1" applyAlignment="1">
      <alignment horizontal="center" wrapText="1"/>
    </xf>
    <xf numFmtId="0" fontId="7" fillId="9" borderId="25" xfId="0" applyFont="1" applyFill="1" applyBorder="1" applyAlignment="1">
      <alignment horizontal="center" wrapText="1"/>
    </xf>
    <xf numFmtId="0" fontId="7" fillId="9" borderId="5" xfId="0" applyFont="1" applyFill="1" applyBorder="1" applyAlignment="1">
      <alignment horizontal="center" wrapText="1"/>
    </xf>
    <xf numFmtId="0" fontId="7" fillId="9" borderId="42" xfId="0" applyFont="1" applyFill="1" applyBorder="1" applyAlignment="1">
      <alignment horizontal="center" wrapText="1"/>
    </xf>
  </cellXfs>
  <cellStyles count="2">
    <cellStyle name="Normal" xfId="0" builtinId="0"/>
    <cellStyle name="Percent" xfId="1" builtinId="5"/>
  </cellStyles>
  <dxfs count="30">
    <dxf>
      <fill>
        <patternFill>
          <bgColor rgb="FFFFFF00"/>
        </patternFill>
      </fill>
    </dxf>
    <dxf>
      <fill>
        <patternFill>
          <bgColor rgb="FFFFC000"/>
        </patternFill>
      </fill>
    </dxf>
    <dxf>
      <fill>
        <patternFill>
          <bgColor rgb="FFFF0000"/>
        </patternFill>
      </fill>
    </dxf>
    <dxf>
      <fill>
        <patternFill>
          <bgColor theme="4" tint="0.79998168889431442"/>
        </patternFill>
      </fill>
    </dxf>
    <dxf>
      <font>
        <b/>
        <i/>
        <color auto="1"/>
      </font>
      <fill>
        <patternFill patternType="none">
          <bgColor auto="1"/>
        </patternFill>
      </fill>
    </dxf>
    <dxf>
      <font>
        <b/>
        <i/>
        <color auto="1"/>
      </font>
      <fill>
        <patternFill patternType="none">
          <bgColor auto="1"/>
        </patternFill>
      </fill>
    </dxf>
    <dxf>
      <font>
        <b/>
        <i/>
        <color auto="1"/>
      </font>
      <fill>
        <patternFill patternType="none">
          <bgColor auto="1"/>
        </patternFill>
      </fill>
    </dxf>
    <dxf>
      <font>
        <b/>
        <i/>
        <color auto="1"/>
      </font>
      <fill>
        <patternFill patternType="none">
          <bgColor auto="1"/>
        </patternFill>
      </fill>
    </dxf>
    <dxf>
      <fill>
        <patternFill>
          <bgColor theme="4" tint="0.79998168889431442"/>
        </patternFill>
      </fill>
    </dxf>
    <dxf>
      <fill>
        <patternFill>
          <bgColor rgb="FFFFFF00"/>
        </patternFill>
      </fill>
    </dxf>
    <dxf>
      <fill>
        <patternFill>
          <bgColor rgb="FFFFC000"/>
        </patternFill>
      </fill>
    </dxf>
    <dxf>
      <fill>
        <patternFill>
          <bgColor rgb="FFFF0000"/>
        </patternFill>
      </fill>
    </dxf>
    <dxf>
      <fill>
        <patternFill>
          <bgColor theme="4" tint="0.79998168889431442"/>
        </patternFill>
      </fill>
    </dxf>
    <dxf>
      <fill>
        <patternFill>
          <bgColor rgb="FFFFFF00"/>
        </patternFill>
      </fill>
    </dxf>
    <dxf>
      <fill>
        <patternFill>
          <bgColor rgb="FFFFC000"/>
        </patternFill>
      </fill>
    </dxf>
    <dxf>
      <fill>
        <patternFill>
          <bgColor rgb="FFFF0000"/>
        </patternFill>
      </fill>
    </dxf>
    <dxf>
      <font>
        <b/>
        <i/>
        <color auto="1"/>
      </font>
      <fill>
        <patternFill patternType="none">
          <bgColor auto="1"/>
        </patternFill>
      </fill>
    </dxf>
    <dxf>
      <font>
        <b/>
        <i/>
        <color auto="1"/>
      </font>
      <fill>
        <patternFill patternType="none">
          <bgColor auto="1"/>
        </patternFill>
      </fill>
    </dxf>
    <dxf>
      <fill>
        <patternFill>
          <bgColor theme="4" tint="0.79998168889431442"/>
        </patternFill>
      </fill>
    </dxf>
    <dxf>
      <fill>
        <patternFill>
          <bgColor rgb="FFFFFF00"/>
        </patternFill>
      </fill>
    </dxf>
    <dxf>
      <fill>
        <patternFill>
          <bgColor rgb="FFFFC000"/>
        </patternFill>
      </fill>
    </dxf>
    <dxf>
      <fill>
        <patternFill>
          <bgColor rgb="FFFF0000"/>
        </patternFill>
      </fill>
    </dxf>
    <dxf>
      <font>
        <b/>
        <i/>
        <color auto="1"/>
      </font>
      <fill>
        <patternFill patternType="none">
          <bgColor auto="1"/>
        </patternFill>
      </fill>
    </dxf>
    <dxf>
      <font>
        <b/>
        <i/>
        <color auto="1"/>
      </font>
      <fill>
        <patternFill patternType="none">
          <bgColor auto="1"/>
        </patternFill>
      </fill>
    </dxf>
    <dxf>
      <font>
        <b/>
        <i/>
        <color auto="1"/>
      </font>
      <fill>
        <patternFill patternType="none">
          <bgColor auto="1"/>
        </patternFill>
      </fill>
    </dxf>
    <dxf>
      <fill>
        <patternFill>
          <bgColor theme="4" tint="0.79998168889431442"/>
        </patternFill>
      </fill>
    </dxf>
    <dxf>
      <fill>
        <patternFill>
          <bgColor rgb="FFFFFF00"/>
        </patternFill>
      </fill>
    </dxf>
    <dxf>
      <fill>
        <patternFill>
          <bgColor rgb="FFFFC000"/>
        </patternFill>
      </fill>
    </dxf>
    <dxf>
      <fill>
        <patternFill>
          <bgColor rgb="FFFF0000"/>
        </patternFill>
      </fill>
    </dxf>
    <dxf>
      <font>
        <b/>
        <i/>
        <color auto="1"/>
      </font>
      <fill>
        <patternFill patternType="none">
          <bgColor auto="1"/>
        </patternFill>
      </fill>
    </dxf>
  </dxfs>
  <tableStyles count="0" defaultTableStyle="TableStyleMedium2" defaultPivotStyle="PivotStyleLight16"/>
  <colors>
    <mruColors>
      <color rgb="FF7534B6"/>
      <color rgb="FF3964B1"/>
      <color rgb="FF5B84CD"/>
      <color rgb="FF3C6CC2"/>
      <color rgb="FF4270C2"/>
      <color rgb="FF2D4F8B"/>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'SVC Figure'!$B$3:$B$20</c:f>
              <c:strCache>
                <c:ptCount val="18"/>
                <c:pt idx="0">
                  <c:v>M21</c:v>
                </c:pt>
                <c:pt idx="1">
                  <c:v>M20C</c:v>
                </c:pt>
                <c:pt idx="2">
                  <c:v>M20B</c:v>
                </c:pt>
                <c:pt idx="3">
                  <c:v>M20A</c:v>
                </c:pt>
                <c:pt idx="4">
                  <c:v>M19B</c:v>
                </c:pt>
                <c:pt idx="5">
                  <c:v>M19A</c:v>
                </c:pt>
                <c:pt idx="6">
                  <c:v>M16</c:v>
                </c:pt>
                <c:pt idx="7">
                  <c:v>M15</c:v>
                </c:pt>
                <c:pt idx="8">
                  <c:v>M14</c:v>
                </c:pt>
                <c:pt idx="9">
                  <c:v>M13</c:v>
                </c:pt>
                <c:pt idx="10">
                  <c:v>M12</c:v>
                </c:pt>
                <c:pt idx="11">
                  <c:v>M11</c:v>
                </c:pt>
                <c:pt idx="12">
                  <c:v>M10</c:v>
                </c:pt>
                <c:pt idx="13">
                  <c:v>M09B</c:v>
                </c:pt>
                <c:pt idx="14">
                  <c:v>M08</c:v>
                </c:pt>
                <c:pt idx="15">
                  <c:v>M06</c:v>
                </c:pt>
                <c:pt idx="16">
                  <c:v>M05</c:v>
                </c:pt>
                <c:pt idx="17">
                  <c:v>M04</c:v>
                </c:pt>
              </c:strCache>
            </c:strRef>
          </c:cat>
          <c:val>
            <c:numRef>
              <c:f>'SVC Figure'!$F$3:$F$20</c:f>
              <c:numCache>
                <c:formatCode>0</c:formatCode>
                <c:ptCount val="18"/>
                <c:pt idx="0">
                  <c:v>0</c:v>
                </c:pt>
                <c:pt idx="1">
                  <c:v>0</c:v>
                </c:pt>
                <c:pt idx="2">
                  <c:v>0</c:v>
                </c:pt>
                <c:pt idx="3">
                  <c:v>0</c:v>
                </c:pt>
                <c:pt idx="4">
                  <c:v>0</c:v>
                </c:pt>
                <c:pt idx="5">
                  <c:v>0</c:v>
                </c:pt>
                <c:pt idx="6">
                  <c:v>29.786102552236201</c:v>
                </c:pt>
                <c:pt idx="7">
                  <c:v>0</c:v>
                </c:pt>
                <c:pt idx="8">
                  <c:v>0</c:v>
                </c:pt>
                <c:pt idx="9">
                  <c:v>0</c:v>
                </c:pt>
                <c:pt idx="10">
                  <c:v>96.445507439688996</c:v>
                </c:pt>
                <c:pt idx="11">
                  <c:v>81.0004648556489</c:v>
                </c:pt>
                <c:pt idx="12">
                  <c:v>56.467965372482297</c:v>
                </c:pt>
                <c:pt idx="13">
                  <c:v>0</c:v>
                </c:pt>
                <c:pt idx="14">
                  <c:v>41.825688557458903</c:v>
                </c:pt>
                <c:pt idx="15">
                  <c:v>0</c:v>
                </c:pt>
                <c:pt idx="16">
                  <c:v>32.672462085675903</c:v>
                </c:pt>
                <c:pt idx="17">
                  <c:v>0</c:v>
                </c:pt>
              </c:numCache>
            </c:numRef>
          </c:val>
          <c:smooth val="0"/>
          <c:extLst>
            <c:ext xmlns:c16="http://schemas.microsoft.com/office/drawing/2014/chart" uri="{C3380CC4-5D6E-409C-BE32-E72D297353CC}">
              <c16:uniqueId val="{00000000-80E7-4834-B9CF-A9F67923BBB3}"/>
            </c:ext>
          </c:extLst>
        </c:ser>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'SVC Figure'!$B$3:$B$20</c:f>
              <c:strCache>
                <c:ptCount val="18"/>
                <c:pt idx="0">
                  <c:v>M21</c:v>
                </c:pt>
                <c:pt idx="1">
                  <c:v>M20C</c:v>
                </c:pt>
                <c:pt idx="2">
                  <c:v>M20B</c:v>
                </c:pt>
                <c:pt idx="3">
                  <c:v>M20A</c:v>
                </c:pt>
                <c:pt idx="4">
                  <c:v>M19B</c:v>
                </c:pt>
                <c:pt idx="5">
                  <c:v>M19A</c:v>
                </c:pt>
                <c:pt idx="6">
                  <c:v>M16</c:v>
                </c:pt>
                <c:pt idx="7">
                  <c:v>M15</c:v>
                </c:pt>
                <c:pt idx="8">
                  <c:v>M14</c:v>
                </c:pt>
                <c:pt idx="9">
                  <c:v>M13</c:v>
                </c:pt>
                <c:pt idx="10">
                  <c:v>M12</c:v>
                </c:pt>
                <c:pt idx="11">
                  <c:v>M11</c:v>
                </c:pt>
                <c:pt idx="12">
                  <c:v>M10</c:v>
                </c:pt>
                <c:pt idx="13">
                  <c:v>M09B</c:v>
                </c:pt>
                <c:pt idx="14">
                  <c:v>M08</c:v>
                </c:pt>
                <c:pt idx="15">
                  <c:v>M06</c:v>
                </c:pt>
                <c:pt idx="16">
                  <c:v>M05</c:v>
                </c:pt>
                <c:pt idx="17">
                  <c:v>M04</c:v>
                </c:pt>
              </c:strCache>
            </c:strRef>
          </c:cat>
          <c:val>
            <c:numRef>
              <c:f>'SVC Figure'!$L$3:$L$20</c:f>
              <c:numCache>
                <c:formatCode>0</c:formatCode>
                <c:ptCount val="18"/>
                <c:pt idx="0">
                  <c:v>7.7417100387662363E-2</c:v>
                </c:pt>
                <c:pt idx="1">
                  <c:v>6.0265327800435926E-2</c:v>
                </c:pt>
                <c:pt idx="2">
                  <c:v>0.52921241454344503</c:v>
                </c:pt>
                <c:pt idx="3">
                  <c:v>3.8301905376251007E-2</c:v>
                </c:pt>
                <c:pt idx="4">
                  <c:v>2.35771897021925E-2</c:v>
                </c:pt>
                <c:pt idx="5">
                  <c:v>2.2635096510098523E-2</c:v>
                </c:pt>
                <c:pt idx="6">
                  <c:v>0.53453025894293904</c:v>
                </c:pt>
                <c:pt idx="7">
                  <c:v>9.4119052936629117</c:v>
                </c:pt>
                <c:pt idx="8">
                  <c:v>0.2639032157493707</c:v>
                </c:pt>
                <c:pt idx="9">
                  <c:v>14.672460654610358</c:v>
                </c:pt>
                <c:pt idx="10">
                  <c:v>1.2486967564824414</c:v>
                </c:pt>
                <c:pt idx="11">
                  <c:v>10.27239129306191</c:v>
                </c:pt>
                <c:pt idx="12">
                  <c:v>3.3922276705266818</c:v>
                </c:pt>
                <c:pt idx="13">
                  <c:v>5.9208053751392633</c:v>
                </c:pt>
                <c:pt idx="14">
                  <c:v>4.4569494141163295</c:v>
                </c:pt>
                <c:pt idx="15">
                  <c:v>14.359468536540419</c:v>
                </c:pt>
                <c:pt idx="16">
                  <c:v>2.5367200529131293</c:v>
                </c:pt>
                <c:pt idx="17">
                  <c:v>0.30546329095422181</c:v>
                </c:pt>
              </c:numCache>
            </c:numRef>
          </c:val>
          <c:smooth val="0"/>
          <c:extLst>
            <c:ext xmlns:c16="http://schemas.microsoft.com/office/drawing/2014/chart" uri="{C3380CC4-5D6E-409C-BE32-E72D297353CC}">
              <c16:uniqueId val="{00000001-80E7-4834-B9CF-A9F67923BBB3}"/>
            </c:ext>
          </c:extLst>
        </c:ser>
        <c:dLbls>
          <c:showLegendKey val="0"/>
          <c:showVal val="0"/>
          <c:showCatName val="0"/>
          <c:showSerName val="0"/>
          <c:showPercent val="0"/>
          <c:showBubbleSize val="0"/>
        </c:dLbls>
        <c:marker val="1"/>
        <c:smooth val="0"/>
        <c:axId val="1350782880"/>
        <c:axId val="1350786208"/>
      </c:lineChart>
      <c:catAx>
        <c:axId val="1350782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786208"/>
        <c:crosses val="autoZero"/>
        <c:auto val="1"/>
        <c:lblAlgn val="ctr"/>
        <c:lblOffset val="100"/>
        <c:noMultiLvlLbl val="0"/>
      </c:catAx>
      <c:valAx>
        <c:axId val="13507862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7828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'SVC Figure'!$B$3:$B$20</c:f>
              <c:strCache>
                <c:ptCount val="18"/>
                <c:pt idx="0">
                  <c:v>M21</c:v>
                </c:pt>
                <c:pt idx="1">
                  <c:v>M20C</c:v>
                </c:pt>
                <c:pt idx="2">
                  <c:v>M20B</c:v>
                </c:pt>
                <c:pt idx="3">
                  <c:v>M20A</c:v>
                </c:pt>
                <c:pt idx="4">
                  <c:v>M19B</c:v>
                </c:pt>
                <c:pt idx="5">
                  <c:v>M19A</c:v>
                </c:pt>
                <c:pt idx="6">
                  <c:v>M16</c:v>
                </c:pt>
                <c:pt idx="7">
                  <c:v>M15</c:v>
                </c:pt>
                <c:pt idx="8">
                  <c:v>M14</c:v>
                </c:pt>
                <c:pt idx="9">
                  <c:v>M13</c:v>
                </c:pt>
                <c:pt idx="10">
                  <c:v>M12</c:v>
                </c:pt>
                <c:pt idx="11">
                  <c:v>M11</c:v>
                </c:pt>
                <c:pt idx="12">
                  <c:v>M10</c:v>
                </c:pt>
                <c:pt idx="13">
                  <c:v>M09B</c:v>
                </c:pt>
                <c:pt idx="14">
                  <c:v>M08</c:v>
                </c:pt>
                <c:pt idx="15">
                  <c:v>M06</c:v>
                </c:pt>
                <c:pt idx="16">
                  <c:v>M05</c:v>
                </c:pt>
                <c:pt idx="17">
                  <c:v>M04</c:v>
                </c:pt>
              </c:strCache>
            </c:strRef>
          </c:cat>
          <c:val>
            <c:numRef>
              <c:f>'SVC Figure'!$C$3:$C$20</c:f>
              <c:numCache>
                <c:formatCode>0</c:formatCode>
                <c:ptCount val="18"/>
                <c:pt idx="0">
                  <c:v>0</c:v>
                </c:pt>
                <c:pt idx="1">
                  <c:v>0</c:v>
                </c:pt>
                <c:pt idx="2">
                  <c:v>0</c:v>
                </c:pt>
                <c:pt idx="3">
                  <c:v>0</c:v>
                </c:pt>
                <c:pt idx="4">
                  <c:v>0</c:v>
                </c:pt>
                <c:pt idx="5">
                  <c:v>0</c:v>
                </c:pt>
                <c:pt idx="6">
                  <c:v>0</c:v>
                </c:pt>
                <c:pt idx="7">
                  <c:v>0</c:v>
                </c:pt>
                <c:pt idx="8">
                  <c:v>0</c:v>
                </c:pt>
                <c:pt idx="9">
                  <c:v>0</c:v>
                </c:pt>
                <c:pt idx="10">
                  <c:v>0</c:v>
                </c:pt>
                <c:pt idx="11">
                  <c:v>58.756490073014596</c:v>
                </c:pt>
                <c:pt idx="12">
                  <c:v>56.467965372482297</c:v>
                </c:pt>
                <c:pt idx="13">
                  <c:v>0</c:v>
                </c:pt>
                <c:pt idx="14">
                  <c:v>0</c:v>
                </c:pt>
                <c:pt idx="15">
                  <c:v>0</c:v>
                </c:pt>
                <c:pt idx="16">
                  <c:v>32.672462085675903</c:v>
                </c:pt>
                <c:pt idx="17">
                  <c:v>0</c:v>
                </c:pt>
              </c:numCache>
            </c:numRef>
          </c:val>
          <c:smooth val="0"/>
          <c:extLst>
            <c:ext xmlns:c16="http://schemas.microsoft.com/office/drawing/2014/chart" uri="{C3380CC4-5D6E-409C-BE32-E72D297353CC}">
              <c16:uniqueId val="{00000000-DCFC-4783-9561-8618978D52B5}"/>
            </c:ext>
          </c:extLst>
        </c:ser>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'SVC Figure'!$B$3:$B$20</c:f>
              <c:strCache>
                <c:ptCount val="18"/>
                <c:pt idx="0">
                  <c:v>M21</c:v>
                </c:pt>
                <c:pt idx="1">
                  <c:v>M20C</c:v>
                </c:pt>
                <c:pt idx="2">
                  <c:v>M20B</c:v>
                </c:pt>
                <c:pt idx="3">
                  <c:v>M20A</c:v>
                </c:pt>
                <c:pt idx="4">
                  <c:v>M19B</c:v>
                </c:pt>
                <c:pt idx="5">
                  <c:v>M19A</c:v>
                </c:pt>
                <c:pt idx="6">
                  <c:v>M16</c:v>
                </c:pt>
                <c:pt idx="7">
                  <c:v>M15</c:v>
                </c:pt>
                <c:pt idx="8">
                  <c:v>M14</c:v>
                </c:pt>
                <c:pt idx="9">
                  <c:v>M13</c:v>
                </c:pt>
                <c:pt idx="10">
                  <c:v>M12</c:v>
                </c:pt>
                <c:pt idx="11">
                  <c:v>M11</c:v>
                </c:pt>
                <c:pt idx="12">
                  <c:v>M10</c:v>
                </c:pt>
                <c:pt idx="13">
                  <c:v>M09B</c:v>
                </c:pt>
                <c:pt idx="14">
                  <c:v>M08</c:v>
                </c:pt>
                <c:pt idx="15">
                  <c:v>M06</c:v>
                </c:pt>
                <c:pt idx="16">
                  <c:v>M05</c:v>
                </c:pt>
                <c:pt idx="17">
                  <c:v>M04</c:v>
                </c:pt>
              </c:strCache>
            </c:strRef>
          </c:cat>
          <c:val>
            <c:numRef>
              <c:f>'SVC Figure'!$D$3:$D$20</c:f>
              <c:numCache>
                <c:formatCode>0</c:formatCode>
                <c:ptCount val="18"/>
                <c:pt idx="0">
                  <c:v>0</c:v>
                </c:pt>
                <c:pt idx="1">
                  <c:v>0</c:v>
                </c:pt>
                <c:pt idx="2">
                  <c:v>0</c:v>
                </c:pt>
                <c:pt idx="3">
                  <c:v>0</c:v>
                </c:pt>
                <c:pt idx="4">
                  <c:v>0</c:v>
                </c:pt>
                <c:pt idx="5">
                  <c:v>0</c:v>
                </c:pt>
                <c:pt idx="6">
                  <c:v>0</c:v>
                </c:pt>
                <c:pt idx="7">
                  <c:v>0</c:v>
                </c:pt>
                <c:pt idx="8">
                  <c:v>0</c:v>
                </c:pt>
                <c:pt idx="9">
                  <c:v>0</c:v>
                </c:pt>
                <c:pt idx="10">
                  <c:v>21.1379159671595</c:v>
                </c:pt>
                <c:pt idx="11">
                  <c:v>81.0004648556489</c:v>
                </c:pt>
                <c:pt idx="12">
                  <c:v>56.467965372482297</c:v>
                </c:pt>
                <c:pt idx="13">
                  <c:v>0</c:v>
                </c:pt>
                <c:pt idx="14">
                  <c:v>5.4367898976397298</c:v>
                </c:pt>
                <c:pt idx="15">
                  <c:v>0</c:v>
                </c:pt>
                <c:pt idx="16">
                  <c:v>32.672462085675903</c:v>
                </c:pt>
                <c:pt idx="17">
                  <c:v>0</c:v>
                </c:pt>
              </c:numCache>
            </c:numRef>
          </c:val>
          <c:smooth val="0"/>
          <c:extLst>
            <c:ext xmlns:c16="http://schemas.microsoft.com/office/drawing/2014/chart" uri="{C3380CC4-5D6E-409C-BE32-E72D297353CC}">
              <c16:uniqueId val="{00000001-DCFC-4783-9561-8618978D52B5}"/>
            </c:ext>
          </c:extLst>
        </c:ser>
        <c:ser>
          <c:idx val="2"/>
          <c:order val="2"/>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'SVC Figure'!$B$3:$B$20</c:f>
              <c:strCache>
                <c:ptCount val="18"/>
                <c:pt idx="0">
                  <c:v>M21</c:v>
                </c:pt>
                <c:pt idx="1">
                  <c:v>M20C</c:v>
                </c:pt>
                <c:pt idx="2">
                  <c:v>M20B</c:v>
                </c:pt>
                <c:pt idx="3">
                  <c:v>M20A</c:v>
                </c:pt>
                <c:pt idx="4">
                  <c:v>M19B</c:v>
                </c:pt>
                <c:pt idx="5">
                  <c:v>M19A</c:v>
                </c:pt>
                <c:pt idx="6">
                  <c:v>M16</c:v>
                </c:pt>
                <c:pt idx="7">
                  <c:v>M15</c:v>
                </c:pt>
                <c:pt idx="8">
                  <c:v>M14</c:v>
                </c:pt>
                <c:pt idx="9">
                  <c:v>M13</c:v>
                </c:pt>
                <c:pt idx="10">
                  <c:v>M12</c:v>
                </c:pt>
                <c:pt idx="11">
                  <c:v>M11</c:v>
                </c:pt>
                <c:pt idx="12">
                  <c:v>M10</c:v>
                </c:pt>
                <c:pt idx="13">
                  <c:v>M09B</c:v>
                </c:pt>
                <c:pt idx="14">
                  <c:v>M08</c:v>
                </c:pt>
                <c:pt idx="15">
                  <c:v>M06</c:v>
                </c:pt>
                <c:pt idx="16">
                  <c:v>M05</c:v>
                </c:pt>
                <c:pt idx="17">
                  <c:v>M04</c:v>
                </c:pt>
              </c:strCache>
            </c:strRef>
          </c:cat>
          <c:val>
            <c:numRef>
              <c:f>'SVC Figure'!$E$3:$E$20</c:f>
              <c:numCache>
                <c:formatCode>0</c:formatCode>
                <c:ptCount val="18"/>
                <c:pt idx="0">
                  <c:v>0</c:v>
                </c:pt>
                <c:pt idx="1">
                  <c:v>0</c:v>
                </c:pt>
                <c:pt idx="2">
                  <c:v>0</c:v>
                </c:pt>
                <c:pt idx="3">
                  <c:v>0</c:v>
                </c:pt>
                <c:pt idx="4">
                  <c:v>0</c:v>
                </c:pt>
                <c:pt idx="5">
                  <c:v>0</c:v>
                </c:pt>
                <c:pt idx="6">
                  <c:v>18.164435946462699</c:v>
                </c:pt>
                <c:pt idx="7">
                  <c:v>0</c:v>
                </c:pt>
                <c:pt idx="8">
                  <c:v>0</c:v>
                </c:pt>
                <c:pt idx="9">
                  <c:v>0</c:v>
                </c:pt>
                <c:pt idx="10">
                  <c:v>86.514729894441501</c:v>
                </c:pt>
                <c:pt idx="11">
                  <c:v>81.0004648556489</c:v>
                </c:pt>
                <c:pt idx="12">
                  <c:v>56.467965372482297</c:v>
                </c:pt>
                <c:pt idx="13">
                  <c:v>0</c:v>
                </c:pt>
                <c:pt idx="14">
                  <c:v>20.779837489887001</c:v>
                </c:pt>
                <c:pt idx="15">
                  <c:v>0</c:v>
                </c:pt>
                <c:pt idx="16">
                  <c:v>32.672462085675903</c:v>
                </c:pt>
                <c:pt idx="17">
                  <c:v>0</c:v>
                </c:pt>
              </c:numCache>
            </c:numRef>
          </c:val>
          <c:smooth val="0"/>
          <c:extLst>
            <c:ext xmlns:c16="http://schemas.microsoft.com/office/drawing/2014/chart" uri="{C3380CC4-5D6E-409C-BE32-E72D297353CC}">
              <c16:uniqueId val="{00000002-DCFC-4783-9561-8618978D52B5}"/>
            </c:ext>
          </c:extLst>
        </c:ser>
        <c:ser>
          <c:idx val="3"/>
          <c:order val="3"/>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'SVC Figure'!$B$3:$B$20</c:f>
              <c:strCache>
                <c:ptCount val="18"/>
                <c:pt idx="0">
                  <c:v>M21</c:v>
                </c:pt>
                <c:pt idx="1">
                  <c:v>M20C</c:v>
                </c:pt>
                <c:pt idx="2">
                  <c:v>M20B</c:v>
                </c:pt>
                <c:pt idx="3">
                  <c:v>M20A</c:v>
                </c:pt>
                <c:pt idx="4">
                  <c:v>M19B</c:v>
                </c:pt>
                <c:pt idx="5">
                  <c:v>M19A</c:v>
                </c:pt>
                <c:pt idx="6">
                  <c:v>M16</c:v>
                </c:pt>
                <c:pt idx="7">
                  <c:v>M15</c:v>
                </c:pt>
                <c:pt idx="8">
                  <c:v>M14</c:v>
                </c:pt>
                <c:pt idx="9">
                  <c:v>M13</c:v>
                </c:pt>
                <c:pt idx="10">
                  <c:v>M12</c:v>
                </c:pt>
                <c:pt idx="11">
                  <c:v>M11</c:v>
                </c:pt>
                <c:pt idx="12">
                  <c:v>M10</c:v>
                </c:pt>
                <c:pt idx="13">
                  <c:v>M09B</c:v>
                </c:pt>
                <c:pt idx="14">
                  <c:v>M08</c:v>
                </c:pt>
                <c:pt idx="15">
                  <c:v>M06</c:v>
                </c:pt>
                <c:pt idx="16">
                  <c:v>M05</c:v>
                </c:pt>
                <c:pt idx="17">
                  <c:v>M04</c:v>
                </c:pt>
              </c:strCache>
            </c:strRef>
          </c:cat>
          <c:val>
            <c:numRef>
              <c:f>'SVC Figure'!$F$3:$F$20</c:f>
              <c:numCache>
                <c:formatCode>0</c:formatCode>
                <c:ptCount val="18"/>
                <c:pt idx="0">
                  <c:v>0</c:v>
                </c:pt>
                <c:pt idx="1">
                  <c:v>0</c:v>
                </c:pt>
                <c:pt idx="2">
                  <c:v>0</c:v>
                </c:pt>
                <c:pt idx="3">
                  <c:v>0</c:v>
                </c:pt>
                <c:pt idx="4">
                  <c:v>0</c:v>
                </c:pt>
                <c:pt idx="5">
                  <c:v>0</c:v>
                </c:pt>
                <c:pt idx="6">
                  <c:v>29.786102552236201</c:v>
                </c:pt>
                <c:pt idx="7">
                  <c:v>0</c:v>
                </c:pt>
                <c:pt idx="8">
                  <c:v>0</c:v>
                </c:pt>
                <c:pt idx="9">
                  <c:v>0</c:v>
                </c:pt>
                <c:pt idx="10">
                  <c:v>96.445507439688996</c:v>
                </c:pt>
                <c:pt idx="11">
                  <c:v>81.0004648556489</c:v>
                </c:pt>
                <c:pt idx="12">
                  <c:v>56.467965372482297</c:v>
                </c:pt>
                <c:pt idx="13">
                  <c:v>0</c:v>
                </c:pt>
                <c:pt idx="14">
                  <c:v>41.825688557458903</c:v>
                </c:pt>
                <c:pt idx="15">
                  <c:v>0</c:v>
                </c:pt>
                <c:pt idx="16">
                  <c:v>32.672462085675903</c:v>
                </c:pt>
                <c:pt idx="17">
                  <c:v>0</c:v>
                </c:pt>
              </c:numCache>
            </c:numRef>
          </c:val>
          <c:smooth val="0"/>
          <c:extLst>
            <c:ext xmlns:c16="http://schemas.microsoft.com/office/drawing/2014/chart" uri="{C3380CC4-5D6E-409C-BE32-E72D297353CC}">
              <c16:uniqueId val="{00000003-DCFC-4783-9561-8618978D52B5}"/>
            </c:ext>
          </c:extLst>
        </c:ser>
        <c:ser>
          <c:idx val="4"/>
          <c:order val="4"/>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'SVC Figure'!$B$3:$B$20</c:f>
              <c:strCache>
                <c:ptCount val="18"/>
                <c:pt idx="0">
                  <c:v>M21</c:v>
                </c:pt>
                <c:pt idx="1">
                  <c:v>M20C</c:v>
                </c:pt>
                <c:pt idx="2">
                  <c:v>M20B</c:v>
                </c:pt>
                <c:pt idx="3">
                  <c:v>M20A</c:v>
                </c:pt>
                <c:pt idx="4">
                  <c:v>M19B</c:v>
                </c:pt>
                <c:pt idx="5">
                  <c:v>M19A</c:v>
                </c:pt>
                <c:pt idx="6">
                  <c:v>M16</c:v>
                </c:pt>
                <c:pt idx="7">
                  <c:v>M15</c:v>
                </c:pt>
                <c:pt idx="8">
                  <c:v>M14</c:v>
                </c:pt>
                <c:pt idx="9">
                  <c:v>M13</c:v>
                </c:pt>
                <c:pt idx="10">
                  <c:v>M12</c:v>
                </c:pt>
                <c:pt idx="11">
                  <c:v>M11</c:v>
                </c:pt>
                <c:pt idx="12">
                  <c:v>M10</c:v>
                </c:pt>
                <c:pt idx="13">
                  <c:v>M09B</c:v>
                </c:pt>
                <c:pt idx="14">
                  <c:v>M08</c:v>
                </c:pt>
                <c:pt idx="15">
                  <c:v>M06</c:v>
                </c:pt>
                <c:pt idx="16">
                  <c:v>M05</c:v>
                </c:pt>
                <c:pt idx="17">
                  <c:v>M04</c:v>
                </c:pt>
              </c:strCache>
            </c:strRef>
          </c:cat>
          <c:val>
            <c:numRef>
              <c:f>'SVC Figure'!$I$3:$I$20</c:f>
              <c:numCache>
                <c:formatCode>0</c:formatCode>
                <c:ptCount val="18"/>
                <c:pt idx="0">
                  <c:v>3.2782172846070226E-2</c:v>
                </c:pt>
                <c:pt idx="1">
                  <c:v>3.2941563461441524E-2</c:v>
                </c:pt>
                <c:pt idx="2">
                  <c:v>5.02909903884384E-2</c:v>
                </c:pt>
                <c:pt idx="3">
                  <c:v>3.650773061179538E-2</c:v>
                </c:pt>
                <c:pt idx="4">
                  <c:v>1.6951282090299193E-2</c:v>
                </c:pt>
                <c:pt idx="5">
                  <c:v>7.1219668082933511E-3</c:v>
                </c:pt>
                <c:pt idx="6">
                  <c:v>6.1182573041770695E-2</c:v>
                </c:pt>
                <c:pt idx="7">
                  <c:v>0.32401585477921208</c:v>
                </c:pt>
                <c:pt idx="8">
                  <c:v>0.10281339587038098</c:v>
                </c:pt>
                <c:pt idx="9">
                  <c:v>0.79938263578270063</c:v>
                </c:pt>
                <c:pt idx="10">
                  <c:v>0.15671432971131891</c:v>
                </c:pt>
                <c:pt idx="11">
                  <c:v>4.039169028759706</c:v>
                </c:pt>
                <c:pt idx="12">
                  <c:v>2.5056658195153259</c:v>
                </c:pt>
                <c:pt idx="13">
                  <c:v>0.12554131425570556</c:v>
                </c:pt>
                <c:pt idx="14">
                  <c:v>9.1370719548178131E-2</c:v>
                </c:pt>
                <c:pt idx="15">
                  <c:v>5.7069543685761559</c:v>
                </c:pt>
                <c:pt idx="16">
                  <c:v>2.321445315147908</c:v>
                </c:pt>
                <c:pt idx="17">
                  <c:v>0.12761944868586303</c:v>
                </c:pt>
              </c:numCache>
            </c:numRef>
          </c:val>
          <c:smooth val="0"/>
          <c:extLst>
            <c:ext xmlns:c16="http://schemas.microsoft.com/office/drawing/2014/chart" uri="{C3380CC4-5D6E-409C-BE32-E72D297353CC}">
              <c16:uniqueId val="{00000004-DCFC-4783-9561-8618978D52B5}"/>
            </c:ext>
          </c:extLst>
        </c:ser>
        <c:ser>
          <c:idx val="5"/>
          <c:order val="5"/>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'SVC Figure'!$B$3:$B$20</c:f>
              <c:strCache>
                <c:ptCount val="18"/>
                <c:pt idx="0">
                  <c:v>M21</c:v>
                </c:pt>
                <c:pt idx="1">
                  <c:v>M20C</c:v>
                </c:pt>
                <c:pt idx="2">
                  <c:v>M20B</c:v>
                </c:pt>
                <c:pt idx="3">
                  <c:v>M20A</c:v>
                </c:pt>
                <c:pt idx="4">
                  <c:v>M19B</c:v>
                </c:pt>
                <c:pt idx="5">
                  <c:v>M19A</c:v>
                </c:pt>
                <c:pt idx="6">
                  <c:v>M16</c:v>
                </c:pt>
                <c:pt idx="7">
                  <c:v>M15</c:v>
                </c:pt>
                <c:pt idx="8">
                  <c:v>M14</c:v>
                </c:pt>
                <c:pt idx="9">
                  <c:v>M13</c:v>
                </c:pt>
                <c:pt idx="10">
                  <c:v>M12</c:v>
                </c:pt>
                <c:pt idx="11">
                  <c:v>M11</c:v>
                </c:pt>
                <c:pt idx="12">
                  <c:v>M10</c:v>
                </c:pt>
                <c:pt idx="13">
                  <c:v>M09B</c:v>
                </c:pt>
                <c:pt idx="14">
                  <c:v>M08</c:v>
                </c:pt>
                <c:pt idx="15">
                  <c:v>M06</c:v>
                </c:pt>
                <c:pt idx="16">
                  <c:v>M05</c:v>
                </c:pt>
                <c:pt idx="17">
                  <c:v>M04</c:v>
                </c:pt>
              </c:strCache>
            </c:strRef>
          </c:cat>
          <c:val>
            <c:numRef>
              <c:f>'SVC Figure'!$J$3:$J$20</c:f>
              <c:numCache>
                <c:formatCode>0</c:formatCode>
                <c:ptCount val="18"/>
                <c:pt idx="0">
                  <c:v>4.0879991477940095E-2</c:v>
                </c:pt>
                <c:pt idx="1">
                  <c:v>4.1885342811907013E-2</c:v>
                </c:pt>
                <c:pt idx="2">
                  <c:v>9.185435045539056E-2</c:v>
                </c:pt>
                <c:pt idx="3">
                  <c:v>3.7298503393276498E-2</c:v>
                </c:pt>
                <c:pt idx="4">
                  <c:v>1.7010524134508726E-2</c:v>
                </c:pt>
                <c:pt idx="5">
                  <c:v>7.7983764150648654E-3</c:v>
                </c:pt>
                <c:pt idx="6">
                  <c:v>8.6023137948958536E-2</c:v>
                </c:pt>
                <c:pt idx="7">
                  <c:v>4.2428915267088811</c:v>
                </c:pt>
                <c:pt idx="8">
                  <c:v>0.11252836134984595</c:v>
                </c:pt>
                <c:pt idx="9">
                  <c:v>3.0534301714845387</c:v>
                </c:pt>
                <c:pt idx="10">
                  <c:v>0.30624802676903706</c:v>
                </c:pt>
                <c:pt idx="11">
                  <c:v>6.5479159583963886</c:v>
                </c:pt>
                <c:pt idx="12">
                  <c:v>2.7488117430712511</c:v>
                </c:pt>
                <c:pt idx="13">
                  <c:v>0.15084259047889159</c:v>
                </c:pt>
                <c:pt idx="14">
                  <c:v>0.24557034367769268</c:v>
                </c:pt>
                <c:pt idx="15">
                  <c:v>12.593038698273158</c:v>
                </c:pt>
                <c:pt idx="16">
                  <c:v>2.5012131674082765</c:v>
                </c:pt>
                <c:pt idx="17">
                  <c:v>0.20705626313238143</c:v>
                </c:pt>
              </c:numCache>
            </c:numRef>
          </c:val>
          <c:smooth val="0"/>
          <c:extLst>
            <c:ext xmlns:c16="http://schemas.microsoft.com/office/drawing/2014/chart" uri="{C3380CC4-5D6E-409C-BE32-E72D297353CC}">
              <c16:uniqueId val="{00000005-DCFC-4783-9561-8618978D52B5}"/>
            </c:ext>
          </c:extLst>
        </c:ser>
        <c:ser>
          <c:idx val="6"/>
          <c:order val="6"/>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'SVC Figure'!$B$3:$B$20</c:f>
              <c:strCache>
                <c:ptCount val="18"/>
                <c:pt idx="0">
                  <c:v>M21</c:v>
                </c:pt>
                <c:pt idx="1">
                  <c:v>M20C</c:v>
                </c:pt>
                <c:pt idx="2">
                  <c:v>M20B</c:v>
                </c:pt>
                <c:pt idx="3">
                  <c:v>M20A</c:v>
                </c:pt>
                <c:pt idx="4">
                  <c:v>M19B</c:v>
                </c:pt>
                <c:pt idx="5">
                  <c:v>M19A</c:v>
                </c:pt>
                <c:pt idx="6">
                  <c:v>M16</c:v>
                </c:pt>
                <c:pt idx="7">
                  <c:v>M15</c:v>
                </c:pt>
                <c:pt idx="8">
                  <c:v>M14</c:v>
                </c:pt>
                <c:pt idx="9">
                  <c:v>M13</c:v>
                </c:pt>
                <c:pt idx="10">
                  <c:v>M12</c:v>
                </c:pt>
                <c:pt idx="11">
                  <c:v>M11</c:v>
                </c:pt>
                <c:pt idx="12">
                  <c:v>M10</c:v>
                </c:pt>
                <c:pt idx="13">
                  <c:v>M09B</c:v>
                </c:pt>
                <c:pt idx="14">
                  <c:v>M08</c:v>
                </c:pt>
                <c:pt idx="15">
                  <c:v>M06</c:v>
                </c:pt>
                <c:pt idx="16">
                  <c:v>M05</c:v>
                </c:pt>
                <c:pt idx="17">
                  <c:v>M04</c:v>
                </c:pt>
              </c:strCache>
            </c:strRef>
          </c:cat>
          <c:val>
            <c:numRef>
              <c:f>'SVC Figure'!$K$3:$K$20</c:f>
              <c:numCache>
                <c:formatCode>0</c:formatCode>
                <c:ptCount val="18"/>
                <c:pt idx="0">
                  <c:v>7.0161222450731212E-2</c:v>
                </c:pt>
                <c:pt idx="1">
                  <c:v>5.9690145596522984E-2</c:v>
                </c:pt>
                <c:pt idx="2">
                  <c:v>0.27156843899213251</c:v>
                </c:pt>
                <c:pt idx="3">
                  <c:v>3.7862017815707749E-2</c:v>
                </c:pt>
                <c:pt idx="4">
                  <c:v>1.7010524134508726E-2</c:v>
                </c:pt>
                <c:pt idx="5">
                  <c:v>1.1319645002578687E-2</c:v>
                </c:pt>
                <c:pt idx="6">
                  <c:v>0.3118656359981245</c:v>
                </c:pt>
                <c:pt idx="7">
                  <c:v>9.2522812832042831</c:v>
                </c:pt>
                <c:pt idx="8">
                  <c:v>0.20252953013464828</c:v>
                </c:pt>
                <c:pt idx="9">
                  <c:v>9.8379747039159433</c:v>
                </c:pt>
                <c:pt idx="10">
                  <c:v>0.94657456185729139</c:v>
                </c:pt>
                <c:pt idx="11">
                  <c:v>9.6659099387543694</c:v>
                </c:pt>
                <c:pt idx="12">
                  <c:v>3.0487574057087339</c:v>
                </c:pt>
                <c:pt idx="13">
                  <c:v>2.2878221046870344</c:v>
                </c:pt>
                <c:pt idx="14">
                  <c:v>2.0212597922798419</c:v>
                </c:pt>
                <c:pt idx="15">
                  <c:v>14.303316293852069</c:v>
                </c:pt>
                <c:pt idx="16">
                  <c:v>2.5288452357088138</c:v>
                </c:pt>
                <c:pt idx="17">
                  <c:v>0.22729125609780332</c:v>
                </c:pt>
              </c:numCache>
            </c:numRef>
          </c:val>
          <c:smooth val="0"/>
          <c:extLst>
            <c:ext xmlns:c16="http://schemas.microsoft.com/office/drawing/2014/chart" uri="{C3380CC4-5D6E-409C-BE32-E72D297353CC}">
              <c16:uniqueId val="{00000006-DCFC-4783-9561-8618978D52B5}"/>
            </c:ext>
          </c:extLst>
        </c:ser>
        <c:ser>
          <c:idx val="7"/>
          <c:order val="7"/>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'SVC Figure'!$B$3:$B$20</c:f>
              <c:strCache>
                <c:ptCount val="18"/>
                <c:pt idx="0">
                  <c:v>M21</c:v>
                </c:pt>
                <c:pt idx="1">
                  <c:v>M20C</c:v>
                </c:pt>
                <c:pt idx="2">
                  <c:v>M20B</c:v>
                </c:pt>
                <c:pt idx="3">
                  <c:v>M20A</c:v>
                </c:pt>
                <c:pt idx="4">
                  <c:v>M19B</c:v>
                </c:pt>
                <c:pt idx="5">
                  <c:v>M19A</c:v>
                </c:pt>
                <c:pt idx="6">
                  <c:v>M16</c:v>
                </c:pt>
                <c:pt idx="7">
                  <c:v>M15</c:v>
                </c:pt>
                <c:pt idx="8">
                  <c:v>M14</c:v>
                </c:pt>
                <c:pt idx="9">
                  <c:v>M13</c:v>
                </c:pt>
                <c:pt idx="10">
                  <c:v>M12</c:v>
                </c:pt>
                <c:pt idx="11">
                  <c:v>M11</c:v>
                </c:pt>
                <c:pt idx="12">
                  <c:v>M10</c:v>
                </c:pt>
                <c:pt idx="13">
                  <c:v>M09B</c:v>
                </c:pt>
                <c:pt idx="14">
                  <c:v>M08</c:v>
                </c:pt>
                <c:pt idx="15">
                  <c:v>M06</c:v>
                </c:pt>
                <c:pt idx="16">
                  <c:v>M05</c:v>
                </c:pt>
                <c:pt idx="17">
                  <c:v>M04</c:v>
                </c:pt>
              </c:strCache>
            </c:strRef>
          </c:cat>
          <c:val>
            <c:numRef>
              <c:f>'SVC Figure'!$L$3:$L$20</c:f>
              <c:numCache>
                <c:formatCode>0</c:formatCode>
                <c:ptCount val="18"/>
                <c:pt idx="0">
                  <c:v>7.7417100387662363E-2</c:v>
                </c:pt>
                <c:pt idx="1">
                  <c:v>6.0265327800435926E-2</c:v>
                </c:pt>
                <c:pt idx="2">
                  <c:v>0.52921241454344503</c:v>
                </c:pt>
                <c:pt idx="3">
                  <c:v>3.8301905376251007E-2</c:v>
                </c:pt>
                <c:pt idx="4">
                  <c:v>2.35771897021925E-2</c:v>
                </c:pt>
                <c:pt idx="5">
                  <c:v>2.2635096510098523E-2</c:v>
                </c:pt>
                <c:pt idx="6">
                  <c:v>0.53453025894293904</c:v>
                </c:pt>
                <c:pt idx="7">
                  <c:v>9.4119052936629117</c:v>
                </c:pt>
                <c:pt idx="8">
                  <c:v>0.2639032157493707</c:v>
                </c:pt>
                <c:pt idx="9">
                  <c:v>14.672460654610358</c:v>
                </c:pt>
                <c:pt idx="10">
                  <c:v>1.2486967564824414</c:v>
                </c:pt>
                <c:pt idx="11">
                  <c:v>10.27239129306191</c:v>
                </c:pt>
                <c:pt idx="12">
                  <c:v>3.3922276705266818</c:v>
                </c:pt>
                <c:pt idx="13">
                  <c:v>5.9208053751392633</c:v>
                </c:pt>
                <c:pt idx="14">
                  <c:v>4.4569494141163295</c:v>
                </c:pt>
                <c:pt idx="15">
                  <c:v>14.359468536540419</c:v>
                </c:pt>
                <c:pt idx="16">
                  <c:v>2.5367200529131293</c:v>
                </c:pt>
                <c:pt idx="17">
                  <c:v>0.30546329095422181</c:v>
                </c:pt>
              </c:numCache>
            </c:numRef>
          </c:val>
          <c:smooth val="0"/>
          <c:extLst>
            <c:ext xmlns:c16="http://schemas.microsoft.com/office/drawing/2014/chart" uri="{C3380CC4-5D6E-409C-BE32-E72D297353CC}">
              <c16:uniqueId val="{00000007-DCFC-4783-9561-8618978D52B5}"/>
            </c:ext>
          </c:extLst>
        </c:ser>
        <c:dLbls>
          <c:showLegendKey val="0"/>
          <c:showVal val="0"/>
          <c:showCatName val="0"/>
          <c:showSerName val="0"/>
          <c:showPercent val="0"/>
          <c:showBubbleSize val="0"/>
        </c:dLbls>
        <c:marker val="1"/>
        <c:smooth val="0"/>
        <c:axId val="1350802848"/>
        <c:axId val="1350812832"/>
      </c:lineChart>
      <c:catAx>
        <c:axId val="1350802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812832"/>
        <c:crosses val="autoZero"/>
        <c:auto val="1"/>
        <c:lblAlgn val="ctr"/>
        <c:lblOffset val="100"/>
        <c:noMultiLvlLbl val="0"/>
      </c:catAx>
      <c:valAx>
        <c:axId val="13508128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802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t>Connected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'SVC Figure'!$C$2</c:f>
              <c:strCache>
                <c:ptCount val="1"/>
                <c:pt idx="0">
                  <c:v>Q2</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'SVC Figure'!$B$3:$B$20</c:f>
              <c:strCache>
                <c:ptCount val="18"/>
                <c:pt idx="0">
                  <c:v>M21</c:v>
                </c:pt>
                <c:pt idx="1">
                  <c:v>M20C</c:v>
                </c:pt>
                <c:pt idx="2">
                  <c:v>M20B</c:v>
                </c:pt>
                <c:pt idx="3">
                  <c:v>M20A</c:v>
                </c:pt>
                <c:pt idx="4">
                  <c:v>M19B</c:v>
                </c:pt>
                <c:pt idx="5">
                  <c:v>M19A</c:v>
                </c:pt>
                <c:pt idx="6">
                  <c:v>M16</c:v>
                </c:pt>
                <c:pt idx="7">
                  <c:v>M15</c:v>
                </c:pt>
                <c:pt idx="8">
                  <c:v>M14</c:v>
                </c:pt>
                <c:pt idx="9">
                  <c:v>M13</c:v>
                </c:pt>
                <c:pt idx="10">
                  <c:v>M12</c:v>
                </c:pt>
                <c:pt idx="11">
                  <c:v>M11</c:v>
                </c:pt>
                <c:pt idx="12">
                  <c:v>M10</c:v>
                </c:pt>
                <c:pt idx="13">
                  <c:v>M09B</c:v>
                </c:pt>
                <c:pt idx="14">
                  <c:v>M08</c:v>
                </c:pt>
                <c:pt idx="15">
                  <c:v>M06</c:v>
                </c:pt>
                <c:pt idx="16">
                  <c:v>M05</c:v>
                </c:pt>
                <c:pt idx="17">
                  <c:v>M04</c:v>
                </c:pt>
              </c:strCache>
            </c:strRef>
          </c:cat>
          <c:val>
            <c:numRef>
              <c:f>'SVC Figure'!$C$3:$C$20</c:f>
              <c:numCache>
                <c:formatCode>0</c:formatCode>
                <c:ptCount val="18"/>
                <c:pt idx="0">
                  <c:v>0</c:v>
                </c:pt>
                <c:pt idx="1">
                  <c:v>0</c:v>
                </c:pt>
                <c:pt idx="2">
                  <c:v>0</c:v>
                </c:pt>
                <c:pt idx="3">
                  <c:v>0</c:v>
                </c:pt>
                <c:pt idx="4">
                  <c:v>0</c:v>
                </c:pt>
                <c:pt idx="5">
                  <c:v>0</c:v>
                </c:pt>
                <c:pt idx="6">
                  <c:v>0</c:v>
                </c:pt>
                <c:pt idx="7">
                  <c:v>0</c:v>
                </c:pt>
                <c:pt idx="8">
                  <c:v>0</c:v>
                </c:pt>
                <c:pt idx="9">
                  <c:v>0</c:v>
                </c:pt>
                <c:pt idx="10">
                  <c:v>0</c:v>
                </c:pt>
                <c:pt idx="11">
                  <c:v>58.756490073014596</c:v>
                </c:pt>
                <c:pt idx="12">
                  <c:v>56.467965372482297</c:v>
                </c:pt>
                <c:pt idx="13">
                  <c:v>0</c:v>
                </c:pt>
                <c:pt idx="14">
                  <c:v>0</c:v>
                </c:pt>
                <c:pt idx="15">
                  <c:v>0</c:v>
                </c:pt>
                <c:pt idx="16">
                  <c:v>32.672462085675903</c:v>
                </c:pt>
                <c:pt idx="17">
                  <c:v>0</c:v>
                </c:pt>
              </c:numCache>
            </c:numRef>
          </c:val>
          <c:smooth val="0"/>
          <c:extLst>
            <c:ext xmlns:c16="http://schemas.microsoft.com/office/drawing/2014/chart" uri="{C3380CC4-5D6E-409C-BE32-E72D297353CC}">
              <c16:uniqueId val="{00000000-11C6-4B0F-9EEA-0F886F059687}"/>
            </c:ext>
          </c:extLst>
        </c:ser>
        <c:ser>
          <c:idx val="1"/>
          <c:order val="1"/>
          <c:tx>
            <c:strRef>
              <c:f>'SVC Figure'!$D$2</c:f>
              <c:strCache>
                <c:ptCount val="1"/>
                <c:pt idx="0">
                  <c:v>Q5</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'SVC Figure'!$B$3:$B$20</c:f>
              <c:strCache>
                <c:ptCount val="18"/>
                <c:pt idx="0">
                  <c:v>M21</c:v>
                </c:pt>
                <c:pt idx="1">
                  <c:v>M20C</c:v>
                </c:pt>
                <c:pt idx="2">
                  <c:v>M20B</c:v>
                </c:pt>
                <c:pt idx="3">
                  <c:v>M20A</c:v>
                </c:pt>
                <c:pt idx="4">
                  <c:v>M19B</c:v>
                </c:pt>
                <c:pt idx="5">
                  <c:v>M19A</c:v>
                </c:pt>
                <c:pt idx="6">
                  <c:v>M16</c:v>
                </c:pt>
                <c:pt idx="7">
                  <c:v>M15</c:v>
                </c:pt>
                <c:pt idx="8">
                  <c:v>M14</c:v>
                </c:pt>
                <c:pt idx="9">
                  <c:v>M13</c:v>
                </c:pt>
                <c:pt idx="10">
                  <c:v>M12</c:v>
                </c:pt>
                <c:pt idx="11">
                  <c:v>M11</c:v>
                </c:pt>
                <c:pt idx="12">
                  <c:v>M10</c:v>
                </c:pt>
                <c:pt idx="13">
                  <c:v>M09B</c:v>
                </c:pt>
                <c:pt idx="14">
                  <c:v>M08</c:v>
                </c:pt>
                <c:pt idx="15">
                  <c:v>M06</c:v>
                </c:pt>
                <c:pt idx="16">
                  <c:v>M05</c:v>
                </c:pt>
                <c:pt idx="17">
                  <c:v>M04</c:v>
                </c:pt>
              </c:strCache>
            </c:strRef>
          </c:cat>
          <c:val>
            <c:numRef>
              <c:f>'SVC Figure'!$D$3:$D$20</c:f>
              <c:numCache>
                <c:formatCode>0</c:formatCode>
                <c:ptCount val="18"/>
                <c:pt idx="0">
                  <c:v>0</c:v>
                </c:pt>
                <c:pt idx="1">
                  <c:v>0</c:v>
                </c:pt>
                <c:pt idx="2">
                  <c:v>0</c:v>
                </c:pt>
                <c:pt idx="3">
                  <c:v>0</c:v>
                </c:pt>
                <c:pt idx="4">
                  <c:v>0</c:v>
                </c:pt>
                <c:pt idx="5">
                  <c:v>0</c:v>
                </c:pt>
                <c:pt idx="6">
                  <c:v>0</c:v>
                </c:pt>
                <c:pt idx="7">
                  <c:v>0</c:v>
                </c:pt>
                <c:pt idx="8">
                  <c:v>0</c:v>
                </c:pt>
                <c:pt idx="9">
                  <c:v>0</c:v>
                </c:pt>
                <c:pt idx="10">
                  <c:v>21.1379159671595</c:v>
                </c:pt>
                <c:pt idx="11">
                  <c:v>81.0004648556489</c:v>
                </c:pt>
                <c:pt idx="12">
                  <c:v>56.467965372482297</c:v>
                </c:pt>
                <c:pt idx="13">
                  <c:v>0</c:v>
                </c:pt>
                <c:pt idx="14">
                  <c:v>5.4367898976397298</c:v>
                </c:pt>
                <c:pt idx="15">
                  <c:v>0</c:v>
                </c:pt>
                <c:pt idx="16">
                  <c:v>32.672462085675903</c:v>
                </c:pt>
                <c:pt idx="17">
                  <c:v>0</c:v>
                </c:pt>
              </c:numCache>
            </c:numRef>
          </c:val>
          <c:smooth val="0"/>
          <c:extLst>
            <c:ext xmlns:c16="http://schemas.microsoft.com/office/drawing/2014/chart" uri="{C3380CC4-5D6E-409C-BE32-E72D297353CC}">
              <c16:uniqueId val="{00000001-11C6-4B0F-9EEA-0F886F059687}"/>
            </c:ext>
          </c:extLst>
        </c:ser>
        <c:ser>
          <c:idx val="2"/>
          <c:order val="2"/>
          <c:tx>
            <c:strRef>
              <c:f>'SVC Figure'!$E$2</c:f>
              <c:strCache>
                <c:ptCount val="1"/>
                <c:pt idx="0">
                  <c:v>Q25</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'SVC Figure'!$B$3:$B$20</c:f>
              <c:strCache>
                <c:ptCount val="18"/>
                <c:pt idx="0">
                  <c:v>M21</c:v>
                </c:pt>
                <c:pt idx="1">
                  <c:v>M20C</c:v>
                </c:pt>
                <c:pt idx="2">
                  <c:v>M20B</c:v>
                </c:pt>
                <c:pt idx="3">
                  <c:v>M20A</c:v>
                </c:pt>
                <c:pt idx="4">
                  <c:v>M19B</c:v>
                </c:pt>
                <c:pt idx="5">
                  <c:v>M19A</c:v>
                </c:pt>
                <c:pt idx="6">
                  <c:v>M16</c:v>
                </c:pt>
                <c:pt idx="7">
                  <c:v>M15</c:v>
                </c:pt>
                <c:pt idx="8">
                  <c:v>M14</c:v>
                </c:pt>
                <c:pt idx="9">
                  <c:v>M13</c:v>
                </c:pt>
                <c:pt idx="10">
                  <c:v>M12</c:v>
                </c:pt>
                <c:pt idx="11">
                  <c:v>M11</c:v>
                </c:pt>
                <c:pt idx="12">
                  <c:v>M10</c:v>
                </c:pt>
                <c:pt idx="13">
                  <c:v>M09B</c:v>
                </c:pt>
                <c:pt idx="14">
                  <c:v>M08</c:v>
                </c:pt>
                <c:pt idx="15">
                  <c:v>M06</c:v>
                </c:pt>
                <c:pt idx="16">
                  <c:v>M05</c:v>
                </c:pt>
                <c:pt idx="17">
                  <c:v>M04</c:v>
                </c:pt>
              </c:strCache>
            </c:strRef>
          </c:cat>
          <c:val>
            <c:numRef>
              <c:f>'SVC Figure'!$E$3:$E$20</c:f>
              <c:numCache>
                <c:formatCode>0</c:formatCode>
                <c:ptCount val="18"/>
                <c:pt idx="0">
                  <c:v>0</c:v>
                </c:pt>
                <c:pt idx="1">
                  <c:v>0</c:v>
                </c:pt>
                <c:pt idx="2">
                  <c:v>0</c:v>
                </c:pt>
                <c:pt idx="3">
                  <c:v>0</c:v>
                </c:pt>
                <c:pt idx="4">
                  <c:v>0</c:v>
                </c:pt>
                <c:pt idx="5">
                  <c:v>0</c:v>
                </c:pt>
                <c:pt idx="6">
                  <c:v>18.164435946462699</c:v>
                </c:pt>
                <c:pt idx="7">
                  <c:v>0</c:v>
                </c:pt>
                <c:pt idx="8">
                  <c:v>0</c:v>
                </c:pt>
                <c:pt idx="9">
                  <c:v>0</c:v>
                </c:pt>
                <c:pt idx="10">
                  <c:v>86.514729894441501</c:v>
                </c:pt>
                <c:pt idx="11">
                  <c:v>81.0004648556489</c:v>
                </c:pt>
                <c:pt idx="12">
                  <c:v>56.467965372482297</c:v>
                </c:pt>
                <c:pt idx="13">
                  <c:v>0</c:v>
                </c:pt>
                <c:pt idx="14">
                  <c:v>20.779837489887001</c:v>
                </c:pt>
                <c:pt idx="15">
                  <c:v>0</c:v>
                </c:pt>
                <c:pt idx="16">
                  <c:v>32.672462085675903</c:v>
                </c:pt>
                <c:pt idx="17">
                  <c:v>0</c:v>
                </c:pt>
              </c:numCache>
            </c:numRef>
          </c:val>
          <c:smooth val="0"/>
          <c:extLst>
            <c:ext xmlns:c16="http://schemas.microsoft.com/office/drawing/2014/chart" uri="{C3380CC4-5D6E-409C-BE32-E72D297353CC}">
              <c16:uniqueId val="{00000002-11C6-4B0F-9EEA-0F886F059687}"/>
            </c:ext>
          </c:extLst>
        </c:ser>
        <c:ser>
          <c:idx val="3"/>
          <c:order val="3"/>
          <c:tx>
            <c:strRef>
              <c:f>'SVC Figure'!$F$2</c:f>
              <c:strCache>
                <c:ptCount val="1"/>
                <c:pt idx="0">
                  <c:v>Q50</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'SVC Figure'!$B$3:$B$20</c:f>
              <c:strCache>
                <c:ptCount val="18"/>
                <c:pt idx="0">
                  <c:v>M21</c:v>
                </c:pt>
                <c:pt idx="1">
                  <c:v>M20C</c:v>
                </c:pt>
                <c:pt idx="2">
                  <c:v>M20B</c:v>
                </c:pt>
                <c:pt idx="3">
                  <c:v>M20A</c:v>
                </c:pt>
                <c:pt idx="4">
                  <c:v>M19B</c:v>
                </c:pt>
                <c:pt idx="5">
                  <c:v>M19A</c:v>
                </c:pt>
                <c:pt idx="6">
                  <c:v>M16</c:v>
                </c:pt>
                <c:pt idx="7">
                  <c:v>M15</c:v>
                </c:pt>
                <c:pt idx="8">
                  <c:v>M14</c:v>
                </c:pt>
                <c:pt idx="9">
                  <c:v>M13</c:v>
                </c:pt>
                <c:pt idx="10">
                  <c:v>M12</c:v>
                </c:pt>
                <c:pt idx="11">
                  <c:v>M11</c:v>
                </c:pt>
                <c:pt idx="12">
                  <c:v>M10</c:v>
                </c:pt>
                <c:pt idx="13">
                  <c:v>M09B</c:v>
                </c:pt>
                <c:pt idx="14">
                  <c:v>M08</c:v>
                </c:pt>
                <c:pt idx="15">
                  <c:v>M06</c:v>
                </c:pt>
                <c:pt idx="16">
                  <c:v>M05</c:v>
                </c:pt>
                <c:pt idx="17">
                  <c:v>M04</c:v>
                </c:pt>
              </c:strCache>
            </c:strRef>
          </c:cat>
          <c:val>
            <c:numRef>
              <c:f>'SVC Figure'!$F$3:$F$20</c:f>
              <c:numCache>
                <c:formatCode>0</c:formatCode>
                <c:ptCount val="18"/>
                <c:pt idx="0">
                  <c:v>0</c:v>
                </c:pt>
                <c:pt idx="1">
                  <c:v>0</c:v>
                </c:pt>
                <c:pt idx="2">
                  <c:v>0</c:v>
                </c:pt>
                <c:pt idx="3">
                  <c:v>0</c:v>
                </c:pt>
                <c:pt idx="4">
                  <c:v>0</c:v>
                </c:pt>
                <c:pt idx="5">
                  <c:v>0</c:v>
                </c:pt>
                <c:pt idx="6">
                  <c:v>29.786102552236201</c:v>
                </c:pt>
                <c:pt idx="7">
                  <c:v>0</c:v>
                </c:pt>
                <c:pt idx="8">
                  <c:v>0</c:v>
                </c:pt>
                <c:pt idx="9">
                  <c:v>0</c:v>
                </c:pt>
                <c:pt idx="10">
                  <c:v>96.445507439688996</c:v>
                </c:pt>
                <c:pt idx="11">
                  <c:v>81.0004648556489</c:v>
                </c:pt>
                <c:pt idx="12">
                  <c:v>56.467965372482297</c:v>
                </c:pt>
                <c:pt idx="13">
                  <c:v>0</c:v>
                </c:pt>
                <c:pt idx="14">
                  <c:v>41.825688557458903</c:v>
                </c:pt>
                <c:pt idx="15">
                  <c:v>0</c:v>
                </c:pt>
                <c:pt idx="16">
                  <c:v>32.672462085675903</c:v>
                </c:pt>
                <c:pt idx="17">
                  <c:v>0</c:v>
                </c:pt>
              </c:numCache>
            </c:numRef>
          </c:val>
          <c:smooth val="0"/>
          <c:extLst>
            <c:ext xmlns:c16="http://schemas.microsoft.com/office/drawing/2014/chart" uri="{C3380CC4-5D6E-409C-BE32-E72D297353CC}">
              <c16:uniqueId val="{00000003-11C6-4B0F-9EEA-0F886F059687}"/>
            </c:ext>
          </c:extLst>
        </c:ser>
        <c:dLbls>
          <c:showLegendKey val="0"/>
          <c:showVal val="0"/>
          <c:showCatName val="0"/>
          <c:showSerName val="0"/>
          <c:showPercent val="0"/>
          <c:showBubbleSize val="0"/>
        </c:dLbls>
        <c:marker val="1"/>
        <c:smooth val="0"/>
        <c:axId val="1351022912"/>
        <c:axId val="1351027072"/>
      </c:lineChart>
      <c:catAx>
        <c:axId val="135102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027072"/>
        <c:crosses val="autoZero"/>
        <c:auto val="1"/>
        <c:lblAlgn val="ctr"/>
        <c:lblOffset val="100"/>
        <c:noMultiLvlLbl val="0"/>
      </c:catAx>
      <c:valAx>
        <c:axId val="1351027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Specific Volume</a:t>
                </a:r>
                <a:r>
                  <a:rPr lang="en-US" baseline="0"/>
                  <a:t> Capacity [m</a:t>
                </a:r>
                <a:r>
                  <a:rPr lang="en-US" baseline="30000"/>
                  <a:t>3</a:t>
                </a:r>
                <a:r>
                  <a:rPr lang="en-US" baseline="0"/>
                  <a:t>/m]</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022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Disconnected </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'SVC Figure'!$I$2</c:f>
              <c:strCache>
                <c:ptCount val="1"/>
                <c:pt idx="0">
                  <c:v>Q2</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'SVC Figure'!$B$3:$B$20</c:f>
              <c:strCache>
                <c:ptCount val="18"/>
                <c:pt idx="0">
                  <c:v>M21</c:v>
                </c:pt>
                <c:pt idx="1">
                  <c:v>M20C</c:v>
                </c:pt>
                <c:pt idx="2">
                  <c:v>M20B</c:v>
                </c:pt>
                <c:pt idx="3">
                  <c:v>M20A</c:v>
                </c:pt>
                <c:pt idx="4">
                  <c:v>M19B</c:v>
                </c:pt>
                <c:pt idx="5">
                  <c:v>M19A</c:v>
                </c:pt>
                <c:pt idx="6">
                  <c:v>M16</c:v>
                </c:pt>
                <c:pt idx="7">
                  <c:v>M15</c:v>
                </c:pt>
                <c:pt idx="8">
                  <c:v>M14</c:v>
                </c:pt>
                <c:pt idx="9">
                  <c:v>M13</c:v>
                </c:pt>
                <c:pt idx="10">
                  <c:v>M12</c:v>
                </c:pt>
                <c:pt idx="11">
                  <c:v>M11</c:v>
                </c:pt>
                <c:pt idx="12">
                  <c:v>M10</c:v>
                </c:pt>
                <c:pt idx="13">
                  <c:v>M09B</c:v>
                </c:pt>
                <c:pt idx="14">
                  <c:v>M08</c:v>
                </c:pt>
                <c:pt idx="15">
                  <c:v>M06</c:v>
                </c:pt>
                <c:pt idx="16">
                  <c:v>M05</c:v>
                </c:pt>
                <c:pt idx="17">
                  <c:v>M04</c:v>
                </c:pt>
              </c:strCache>
            </c:strRef>
          </c:cat>
          <c:val>
            <c:numRef>
              <c:f>'SVC Figure'!$I$3:$I$20</c:f>
              <c:numCache>
                <c:formatCode>0</c:formatCode>
                <c:ptCount val="18"/>
                <c:pt idx="0">
                  <c:v>3.2782172846070226E-2</c:v>
                </c:pt>
                <c:pt idx="1">
                  <c:v>3.2941563461441524E-2</c:v>
                </c:pt>
                <c:pt idx="2">
                  <c:v>5.02909903884384E-2</c:v>
                </c:pt>
                <c:pt idx="3">
                  <c:v>3.650773061179538E-2</c:v>
                </c:pt>
                <c:pt idx="4">
                  <c:v>1.6951282090299193E-2</c:v>
                </c:pt>
                <c:pt idx="5">
                  <c:v>7.1219668082933511E-3</c:v>
                </c:pt>
                <c:pt idx="6">
                  <c:v>6.1182573041770695E-2</c:v>
                </c:pt>
                <c:pt idx="7">
                  <c:v>0.32401585477921208</c:v>
                </c:pt>
                <c:pt idx="8">
                  <c:v>0.10281339587038098</c:v>
                </c:pt>
                <c:pt idx="9">
                  <c:v>0.79938263578270063</c:v>
                </c:pt>
                <c:pt idx="10">
                  <c:v>0.15671432971131891</c:v>
                </c:pt>
                <c:pt idx="11">
                  <c:v>4.039169028759706</c:v>
                </c:pt>
                <c:pt idx="12">
                  <c:v>2.5056658195153259</c:v>
                </c:pt>
                <c:pt idx="13">
                  <c:v>0.12554131425570556</c:v>
                </c:pt>
                <c:pt idx="14">
                  <c:v>9.1370719548178131E-2</c:v>
                </c:pt>
                <c:pt idx="15">
                  <c:v>5.7069543685761559</c:v>
                </c:pt>
                <c:pt idx="16">
                  <c:v>2.321445315147908</c:v>
                </c:pt>
                <c:pt idx="17">
                  <c:v>0.12761944868586303</c:v>
                </c:pt>
              </c:numCache>
            </c:numRef>
          </c:val>
          <c:smooth val="0"/>
          <c:extLst>
            <c:ext xmlns:c16="http://schemas.microsoft.com/office/drawing/2014/chart" uri="{C3380CC4-5D6E-409C-BE32-E72D297353CC}">
              <c16:uniqueId val="{00000000-2FBB-4F6D-9C55-ED833CF0EC36}"/>
            </c:ext>
          </c:extLst>
        </c:ser>
        <c:ser>
          <c:idx val="1"/>
          <c:order val="1"/>
          <c:tx>
            <c:strRef>
              <c:f>'SVC Figure'!$J$2</c:f>
              <c:strCache>
                <c:ptCount val="1"/>
                <c:pt idx="0">
                  <c:v>Q5</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'SVC Figure'!$B$3:$B$20</c:f>
              <c:strCache>
                <c:ptCount val="18"/>
                <c:pt idx="0">
                  <c:v>M21</c:v>
                </c:pt>
                <c:pt idx="1">
                  <c:v>M20C</c:v>
                </c:pt>
                <c:pt idx="2">
                  <c:v>M20B</c:v>
                </c:pt>
                <c:pt idx="3">
                  <c:v>M20A</c:v>
                </c:pt>
                <c:pt idx="4">
                  <c:v>M19B</c:v>
                </c:pt>
                <c:pt idx="5">
                  <c:v>M19A</c:v>
                </c:pt>
                <c:pt idx="6">
                  <c:v>M16</c:v>
                </c:pt>
                <c:pt idx="7">
                  <c:v>M15</c:v>
                </c:pt>
                <c:pt idx="8">
                  <c:v>M14</c:v>
                </c:pt>
                <c:pt idx="9">
                  <c:v>M13</c:v>
                </c:pt>
                <c:pt idx="10">
                  <c:v>M12</c:v>
                </c:pt>
                <c:pt idx="11">
                  <c:v>M11</c:v>
                </c:pt>
                <c:pt idx="12">
                  <c:v>M10</c:v>
                </c:pt>
                <c:pt idx="13">
                  <c:v>M09B</c:v>
                </c:pt>
                <c:pt idx="14">
                  <c:v>M08</c:v>
                </c:pt>
                <c:pt idx="15">
                  <c:v>M06</c:v>
                </c:pt>
                <c:pt idx="16">
                  <c:v>M05</c:v>
                </c:pt>
                <c:pt idx="17">
                  <c:v>M04</c:v>
                </c:pt>
              </c:strCache>
            </c:strRef>
          </c:cat>
          <c:val>
            <c:numRef>
              <c:f>'SVC Figure'!$J$3:$J$20</c:f>
              <c:numCache>
                <c:formatCode>0</c:formatCode>
                <c:ptCount val="18"/>
                <c:pt idx="0">
                  <c:v>4.0879991477940095E-2</c:v>
                </c:pt>
                <c:pt idx="1">
                  <c:v>4.1885342811907013E-2</c:v>
                </c:pt>
                <c:pt idx="2">
                  <c:v>9.185435045539056E-2</c:v>
                </c:pt>
                <c:pt idx="3">
                  <c:v>3.7298503393276498E-2</c:v>
                </c:pt>
                <c:pt idx="4">
                  <c:v>1.7010524134508726E-2</c:v>
                </c:pt>
                <c:pt idx="5">
                  <c:v>7.7983764150648654E-3</c:v>
                </c:pt>
                <c:pt idx="6">
                  <c:v>8.6023137948958536E-2</c:v>
                </c:pt>
                <c:pt idx="7">
                  <c:v>4.2428915267088811</c:v>
                </c:pt>
                <c:pt idx="8">
                  <c:v>0.11252836134984595</c:v>
                </c:pt>
                <c:pt idx="9">
                  <c:v>3.0534301714845387</c:v>
                </c:pt>
                <c:pt idx="10">
                  <c:v>0.30624802676903706</c:v>
                </c:pt>
                <c:pt idx="11">
                  <c:v>6.5479159583963886</c:v>
                </c:pt>
                <c:pt idx="12">
                  <c:v>2.7488117430712511</c:v>
                </c:pt>
                <c:pt idx="13">
                  <c:v>0.15084259047889159</c:v>
                </c:pt>
                <c:pt idx="14">
                  <c:v>0.24557034367769268</c:v>
                </c:pt>
                <c:pt idx="15">
                  <c:v>12.593038698273158</c:v>
                </c:pt>
                <c:pt idx="16">
                  <c:v>2.5012131674082765</c:v>
                </c:pt>
                <c:pt idx="17">
                  <c:v>0.20705626313238143</c:v>
                </c:pt>
              </c:numCache>
            </c:numRef>
          </c:val>
          <c:smooth val="0"/>
          <c:extLst>
            <c:ext xmlns:c16="http://schemas.microsoft.com/office/drawing/2014/chart" uri="{C3380CC4-5D6E-409C-BE32-E72D297353CC}">
              <c16:uniqueId val="{00000001-2FBB-4F6D-9C55-ED833CF0EC36}"/>
            </c:ext>
          </c:extLst>
        </c:ser>
        <c:ser>
          <c:idx val="2"/>
          <c:order val="2"/>
          <c:tx>
            <c:strRef>
              <c:f>'SVC Figure'!$K$2</c:f>
              <c:strCache>
                <c:ptCount val="1"/>
                <c:pt idx="0">
                  <c:v>Q25</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'SVC Figure'!$B$3:$B$20</c:f>
              <c:strCache>
                <c:ptCount val="18"/>
                <c:pt idx="0">
                  <c:v>M21</c:v>
                </c:pt>
                <c:pt idx="1">
                  <c:v>M20C</c:v>
                </c:pt>
                <c:pt idx="2">
                  <c:v>M20B</c:v>
                </c:pt>
                <c:pt idx="3">
                  <c:v>M20A</c:v>
                </c:pt>
                <c:pt idx="4">
                  <c:v>M19B</c:v>
                </c:pt>
                <c:pt idx="5">
                  <c:v>M19A</c:v>
                </c:pt>
                <c:pt idx="6">
                  <c:v>M16</c:v>
                </c:pt>
                <c:pt idx="7">
                  <c:v>M15</c:v>
                </c:pt>
                <c:pt idx="8">
                  <c:v>M14</c:v>
                </c:pt>
                <c:pt idx="9">
                  <c:v>M13</c:v>
                </c:pt>
                <c:pt idx="10">
                  <c:v>M12</c:v>
                </c:pt>
                <c:pt idx="11">
                  <c:v>M11</c:v>
                </c:pt>
                <c:pt idx="12">
                  <c:v>M10</c:v>
                </c:pt>
                <c:pt idx="13">
                  <c:v>M09B</c:v>
                </c:pt>
                <c:pt idx="14">
                  <c:v>M08</c:v>
                </c:pt>
                <c:pt idx="15">
                  <c:v>M06</c:v>
                </c:pt>
                <c:pt idx="16">
                  <c:v>M05</c:v>
                </c:pt>
                <c:pt idx="17">
                  <c:v>M04</c:v>
                </c:pt>
              </c:strCache>
            </c:strRef>
          </c:cat>
          <c:val>
            <c:numRef>
              <c:f>'SVC Figure'!$K$3:$K$20</c:f>
              <c:numCache>
                <c:formatCode>0</c:formatCode>
                <c:ptCount val="18"/>
                <c:pt idx="0">
                  <c:v>7.0161222450731212E-2</c:v>
                </c:pt>
                <c:pt idx="1">
                  <c:v>5.9690145596522984E-2</c:v>
                </c:pt>
                <c:pt idx="2">
                  <c:v>0.27156843899213251</c:v>
                </c:pt>
                <c:pt idx="3">
                  <c:v>3.7862017815707749E-2</c:v>
                </c:pt>
                <c:pt idx="4">
                  <c:v>1.7010524134508726E-2</c:v>
                </c:pt>
                <c:pt idx="5">
                  <c:v>1.1319645002578687E-2</c:v>
                </c:pt>
                <c:pt idx="6">
                  <c:v>0.3118656359981245</c:v>
                </c:pt>
                <c:pt idx="7">
                  <c:v>9.2522812832042831</c:v>
                </c:pt>
                <c:pt idx="8">
                  <c:v>0.20252953013464828</c:v>
                </c:pt>
                <c:pt idx="9">
                  <c:v>9.8379747039159433</c:v>
                </c:pt>
                <c:pt idx="10">
                  <c:v>0.94657456185729139</c:v>
                </c:pt>
                <c:pt idx="11">
                  <c:v>9.6659099387543694</c:v>
                </c:pt>
                <c:pt idx="12">
                  <c:v>3.0487574057087339</c:v>
                </c:pt>
                <c:pt idx="13">
                  <c:v>2.2878221046870344</c:v>
                </c:pt>
                <c:pt idx="14">
                  <c:v>2.0212597922798419</c:v>
                </c:pt>
                <c:pt idx="15">
                  <c:v>14.303316293852069</c:v>
                </c:pt>
                <c:pt idx="16">
                  <c:v>2.5288452357088138</c:v>
                </c:pt>
                <c:pt idx="17">
                  <c:v>0.22729125609780332</c:v>
                </c:pt>
              </c:numCache>
            </c:numRef>
          </c:val>
          <c:smooth val="0"/>
          <c:extLst>
            <c:ext xmlns:c16="http://schemas.microsoft.com/office/drawing/2014/chart" uri="{C3380CC4-5D6E-409C-BE32-E72D297353CC}">
              <c16:uniqueId val="{00000002-2FBB-4F6D-9C55-ED833CF0EC36}"/>
            </c:ext>
          </c:extLst>
        </c:ser>
        <c:ser>
          <c:idx val="3"/>
          <c:order val="3"/>
          <c:tx>
            <c:strRef>
              <c:f>'SVC Figure'!$L$2</c:f>
              <c:strCache>
                <c:ptCount val="1"/>
                <c:pt idx="0">
                  <c:v>Q50</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'SVC Figure'!$B$3:$B$20</c:f>
              <c:strCache>
                <c:ptCount val="18"/>
                <c:pt idx="0">
                  <c:v>M21</c:v>
                </c:pt>
                <c:pt idx="1">
                  <c:v>M20C</c:v>
                </c:pt>
                <c:pt idx="2">
                  <c:v>M20B</c:v>
                </c:pt>
                <c:pt idx="3">
                  <c:v>M20A</c:v>
                </c:pt>
                <c:pt idx="4">
                  <c:v>M19B</c:v>
                </c:pt>
                <c:pt idx="5">
                  <c:v>M19A</c:v>
                </c:pt>
                <c:pt idx="6">
                  <c:v>M16</c:v>
                </c:pt>
                <c:pt idx="7">
                  <c:v>M15</c:v>
                </c:pt>
                <c:pt idx="8">
                  <c:v>M14</c:v>
                </c:pt>
                <c:pt idx="9">
                  <c:v>M13</c:v>
                </c:pt>
                <c:pt idx="10">
                  <c:v>M12</c:v>
                </c:pt>
                <c:pt idx="11">
                  <c:v>M11</c:v>
                </c:pt>
                <c:pt idx="12">
                  <c:v>M10</c:v>
                </c:pt>
                <c:pt idx="13">
                  <c:v>M09B</c:v>
                </c:pt>
                <c:pt idx="14">
                  <c:v>M08</c:v>
                </c:pt>
                <c:pt idx="15">
                  <c:v>M06</c:v>
                </c:pt>
                <c:pt idx="16">
                  <c:v>M05</c:v>
                </c:pt>
                <c:pt idx="17">
                  <c:v>M04</c:v>
                </c:pt>
              </c:strCache>
            </c:strRef>
          </c:cat>
          <c:val>
            <c:numRef>
              <c:f>'SVC Figure'!$L$3:$L$20</c:f>
              <c:numCache>
                <c:formatCode>0</c:formatCode>
                <c:ptCount val="18"/>
                <c:pt idx="0">
                  <c:v>7.7417100387662363E-2</c:v>
                </c:pt>
                <c:pt idx="1">
                  <c:v>6.0265327800435926E-2</c:v>
                </c:pt>
                <c:pt idx="2">
                  <c:v>0.52921241454344503</c:v>
                </c:pt>
                <c:pt idx="3">
                  <c:v>3.8301905376251007E-2</c:v>
                </c:pt>
                <c:pt idx="4">
                  <c:v>2.35771897021925E-2</c:v>
                </c:pt>
                <c:pt idx="5">
                  <c:v>2.2635096510098523E-2</c:v>
                </c:pt>
                <c:pt idx="6">
                  <c:v>0.53453025894293904</c:v>
                </c:pt>
                <c:pt idx="7">
                  <c:v>9.4119052936629117</c:v>
                </c:pt>
                <c:pt idx="8">
                  <c:v>0.2639032157493707</c:v>
                </c:pt>
                <c:pt idx="9">
                  <c:v>14.672460654610358</c:v>
                </c:pt>
                <c:pt idx="10">
                  <c:v>1.2486967564824414</c:v>
                </c:pt>
                <c:pt idx="11">
                  <c:v>10.27239129306191</c:v>
                </c:pt>
                <c:pt idx="12">
                  <c:v>3.3922276705266818</c:v>
                </c:pt>
                <c:pt idx="13">
                  <c:v>5.9208053751392633</c:v>
                </c:pt>
                <c:pt idx="14">
                  <c:v>4.4569494141163295</c:v>
                </c:pt>
                <c:pt idx="15">
                  <c:v>14.359468536540419</c:v>
                </c:pt>
                <c:pt idx="16">
                  <c:v>2.5367200529131293</c:v>
                </c:pt>
                <c:pt idx="17">
                  <c:v>0.30546329095422181</c:v>
                </c:pt>
              </c:numCache>
            </c:numRef>
          </c:val>
          <c:smooth val="0"/>
          <c:extLst>
            <c:ext xmlns:c16="http://schemas.microsoft.com/office/drawing/2014/chart" uri="{C3380CC4-5D6E-409C-BE32-E72D297353CC}">
              <c16:uniqueId val="{00000003-2FBB-4F6D-9C55-ED833CF0EC36}"/>
            </c:ext>
          </c:extLst>
        </c:ser>
        <c:dLbls>
          <c:showLegendKey val="0"/>
          <c:showVal val="0"/>
          <c:showCatName val="0"/>
          <c:showSerName val="0"/>
          <c:showPercent val="0"/>
          <c:showBubbleSize val="0"/>
        </c:dLbls>
        <c:marker val="1"/>
        <c:smooth val="0"/>
        <c:axId val="1302707184"/>
        <c:axId val="1302708432"/>
      </c:lineChart>
      <c:catAx>
        <c:axId val="1302707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708432"/>
        <c:crosses val="autoZero"/>
        <c:auto val="1"/>
        <c:lblAlgn val="ctr"/>
        <c:lblOffset val="100"/>
        <c:noMultiLvlLbl val="0"/>
      </c:catAx>
      <c:valAx>
        <c:axId val="1302708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Specific Volume Capacity [m</a:t>
                </a:r>
                <a:r>
                  <a:rPr lang="en-US" baseline="30000"/>
                  <a:t>3</a:t>
                </a:r>
                <a:r>
                  <a:rPr lang="en-US" baseline="0"/>
                  <a:t>/m]</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707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5"/>
          <c:order val="0"/>
          <c:tx>
            <c:strRef>
              <c:f>'SSP Figure'!$F$1</c:f>
              <c:strCache>
                <c:ptCount val="1"/>
                <c:pt idx="0">
                  <c:v>LCL</c:v>
                </c:pt>
              </c:strCache>
            </c:strRef>
          </c:tx>
          <c:spPr>
            <a:solidFill>
              <a:srgbClr val="FFFF00"/>
            </a:solidFill>
            <a:ln>
              <a:solidFill>
                <a:schemeClr val="tx1"/>
              </a:solidFill>
            </a:ln>
          </c:spPr>
          <c:invertIfNegative val="0"/>
          <c:cat>
            <c:strRef>
              <c:f>'SSP Figure'!$E$2:$E$18</c:f>
              <c:strCache>
                <c:ptCount val="17"/>
                <c:pt idx="0">
                  <c:v>M21</c:v>
                </c:pt>
                <c:pt idx="1">
                  <c:v>M20C</c:v>
                </c:pt>
                <c:pt idx="2">
                  <c:v>M20B</c:v>
                </c:pt>
                <c:pt idx="3">
                  <c:v>M20A</c:v>
                </c:pt>
                <c:pt idx="4">
                  <c:v>M19B</c:v>
                </c:pt>
                <c:pt idx="5">
                  <c:v>M19A</c:v>
                </c:pt>
                <c:pt idx="6">
                  <c:v>M16</c:v>
                </c:pt>
                <c:pt idx="7">
                  <c:v>M15</c:v>
                </c:pt>
                <c:pt idx="8">
                  <c:v>M14</c:v>
                </c:pt>
                <c:pt idx="9">
                  <c:v>M13</c:v>
                </c:pt>
                <c:pt idx="10">
                  <c:v>M12</c:v>
                </c:pt>
                <c:pt idx="11">
                  <c:v>M11</c:v>
                </c:pt>
                <c:pt idx="12">
                  <c:v>M09B</c:v>
                </c:pt>
                <c:pt idx="13">
                  <c:v>M08</c:v>
                </c:pt>
                <c:pt idx="14">
                  <c:v>M06</c:v>
                </c:pt>
                <c:pt idx="15">
                  <c:v>M05</c:v>
                </c:pt>
                <c:pt idx="16">
                  <c:v>M04</c:v>
                </c:pt>
              </c:strCache>
            </c:strRef>
          </c:cat>
          <c:val>
            <c:numRef>
              <c:f>'SSP Figure'!$F$2:$F$18</c:f>
              <c:numCache>
                <c:formatCode>General</c:formatCode>
                <c:ptCount val="17"/>
                <c:pt idx="0">
                  <c:v>405.044149093285</c:v>
                </c:pt>
                <c:pt idx="1">
                  <c:v>490.70852093603401</c:v>
                </c:pt>
                <c:pt idx="2">
                  <c:v>530.32655941708003</c:v>
                </c:pt>
                <c:pt idx="3">
                  <c:v>295.70855496693298</c:v>
                </c:pt>
                <c:pt idx="4">
                  <c:v>247.85238282421699</c:v>
                </c:pt>
                <c:pt idx="5">
                  <c:v>117.042985944234</c:v>
                </c:pt>
                <c:pt idx="6">
                  <c:v>417.93043933819598</c:v>
                </c:pt>
                <c:pt idx="7">
                  <c:v>420.09324898966798</c:v>
                </c:pt>
                <c:pt idx="8">
                  <c:v>360.32125948299301</c:v>
                </c:pt>
                <c:pt idx="9">
                  <c:v>238.08659941981401</c:v>
                </c:pt>
                <c:pt idx="10">
                  <c:v>374.01872307616799</c:v>
                </c:pt>
                <c:pt idx="11">
                  <c:v>143.04332870333801</c:v>
                </c:pt>
                <c:pt idx="12">
                  <c:v>318.67200792401798</c:v>
                </c:pt>
                <c:pt idx="13">
                  <c:v>272.47096391357297</c:v>
                </c:pt>
                <c:pt idx="14">
                  <c:v>139.37132086486301</c:v>
                </c:pt>
                <c:pt idx="15">
                  <c:v>77.892847846711703</c:v>
                </c:pt>
                <c:pt idx="16">
                  <c:v>170.02069640478601</c:v>
                </c:pt>
              </c:numCache>
            </c:numRef>
          </c:val>
          <c:extLst>
            <c:ext xmlns:c16="http://schemas.microsoft.com/office/drawing/2014/chart" uri="{C3380CC4-5D6E-409C-BE32-E72D297353CC}">
              <c16:uniqueId val="{00000019-3D40-4B9A-9BD1-3F5182B8B5C0}"/>
            </c:ext>
          </c:extLst>
        </c:ser>
        <c:ser>
          <c:idx val="0"/>
          <c:order val="1"/>
          <c:tx>
            <c:strRef>
              <c:f>'SSP Figure'!$C$1</c:f>
              <c:strCache>
                <c:ptCount val="1"/>
                <c:pt idx="0">
                  <c:v>Nominal</c:v>
                </c:pt>
              </c:strCache>
            </c:strRef>
          </c:tx>
          <c:spPr>
            <a:solidFill>
              <a:srgbClr val="FFC000"/>
            </a:solidFill>
            <a:ln>
              <a:solidFill>
                <a:schemeClr val="tx1"/>
              </a:solidFill>
            </a:ln>
          </c:spPr>
          <c:invertIfNegative val="0"/>
          <c:val>
            <c:numRef>
              <c:f>'SSP Figure'!$C$2:$C$18</c:f>
              <c:numCache>
                <c:formatCode>General</c:formatCode>
                <c:ptCount val="17"/>
                <c:pt idx="0">
                  <c:v>591.02508959116903</c:v>
                </c:pt>
                <c:pt idx="1">
                  <c:v>722.796392814716</c:v>
                </c:pt>
                <c:pt idx="2">
                  <c:v>732.95979062839297</c:v>
                </c:pt>
                <c:pt idx="3">
                  <c:v>507.11232712224</c:v>
                </c:pt>
                <c:pt idx="4">
                  <c:v>413.392982523059</c:v>
                </c:pt>
                <c:pt idx="5">
                  <c:v>206.86279384199099</c:v>
                </c:pt>
                <c:pt idx="6">
                  <c:v>842.07954741109904</c:v>
                </c:pt>
                <c:pt idx="7">
                  <c:v>741.36331287751</c:v>
                </c:pt>
                <c:pt idx="8">
                  <c:v>877.62576918693105</c:v>
                </c:pt>
                <c:pt idx="9">
                  <c:v>379.35102878012202</c:v>
                </c:pt>
                <c:pt idx="10">
                  <c:v>827.62652508672898</c:v>
                </c:pt>
                <c:pt idx="11">
                  <c:v>264.27219539247</c:v>
                </c:pt>
                <c:pt idx="12">
                  <c:v>505.06818116131598</c:v>
                </c:pt>
                <c:pt idx="13">
                  <c:v>421.37832523288898</c:v>
                </c:pt>
                <c:pt idx="14">
                  <c:v>397.16283997791601</c:v>
                </c:pt>
                <c:pt idx="15">
                  <c:v>204.20160038779201</c:v>
                </c:pt>
                <c:pt idx="16">
                  <c:v>282.080456875989</c:v>
                </c:pt>
              </c:numCache>
            </c:numRef>
          </c:val>
          <c:extLst>
            <c:ext xmlns:c16="http://schemas.microsoft.com/office/drawing/2014/chart" uri="{C3380CC4-5D6E-409C-BE32-E72D297353CC}">
              <c16:uniqueId val="{0000001F-3D40-4B9A-9BD1-3F5182B8B5C0}"/>
            </c:ext>
          </c:extLst>
        </c:ser>
        <c:ser>
          <c:idx val="1"/>
          <c:order val="2"/>
          <c:tx>
            <c:strRef>
              <c:f>'SSP Figure'!$D$1</c:f>
              <c:strCache>
                <c:ptCount val="1"/>
                <c:pt idx="0">
                  <c:v>UCL</c:v>
                </c:pt>
              </c:strCache>
            </c:strRef>
          </c:tx>
          <c:spPr>
            <a:ln>
              <a:solidFill>
                <a:schemeClr val="tx1"/>
              </a:solidFill>
            </a:ln>
          </c:spPr>
          <c:invertIfNegative val="0"/>
          <c:val>
            <c:numRef>
              <c:f>'SSP Figure'!$D$2:$D$18</c:f>
              <c:numCache>
                <c:formatCode>General</c:formatCode>
                <c:ptCount val="17"/>
                <c:pt idx="0">
                  <c:v>838.87349397866603</c:v>
                </c:pt>
                <c:pt idx="1">
                  <c:v>1367.2746592231499</c:v>
                </c:pt>
                <c:pt idx="2">
                  <c:v>1012.98408663825</c:v>
                </c:pt>
                <c:pt idx="3">
                  <c:v>747.56662069768095</c:v>
                </c:pt>
                <c:pt idx="4">
                  <c:v>689.44737777226601</c:v>
                </c:pt>
                <c:pt idx="5">
                  <c:v>365.60645364919901</c:v>
                </c:pt>
                <c:pt idx="6">
                  <c:v>1706.69814944722</c:v>
                </c:pt>
                <c:pt idx="7">
                  <c:v>1478.4633083460201</c:v>
                </c:pt>
                <c:pt idx="8">
                  <c:v>1895.48085674974</c:v>
                </c:pt>
                <c:pt idx="9">
                  <c:v>604.42613567579997</c:v>
                </c:pt>
                <c:pt idx="10">
                  <c:v>1778.96559521468</c:v>
                </c:pt>
                <c:pt idx="11">
                  <c:v>488.21525354078898</c:v>
                </c:pt>
                <c:pt idx="12">
                  <c:v>746.96592697099902</c:v>
                </c:pt>
                <c:pt idx="13">
                  <c:v>651.662677430141</c:v>
                </c:pt>
                <c:pt idx="14">
                  <c:v>1271.4143415188901</c:v>
                </c:pt>
                <c:pt idx="15">
                  <c:v>411.22854439845099</c:v>
                </c:pt>
                <c:pt idx="16">
                  <c:v>467.97511319843699</c:v>
                </c:pt>
              </c:numCache>
            </c:numRef>
          </c:val>
          <c:extLst>
            <c:ext xmlns:c16="http://schemas.microsoft.com/office/drawing/2014/chart" uri="{C3380CC4-5D6E-409C-BE32-E72D297353CC}">
              <c16:uniqueId val="{00000020-3D40-4B9A-9BD1-3F5182B8B5C0}"/>
            </c:ext>
          </c:extLst>
        </c:ser>
        <c:dLbls>
          <c:showLegendKey val="0"/>
          <c:showVal val="0"/>
          <c:showCatName val="0"/>
          <c:showSerName val="0"/>
          <c:showPercent val="0"/>
          <c:showBubbleSize val="0"/>
        </c:dLbls>
        <c:gapWidth val="150"/>
        <c:axId val="709674432"/>
        <c:axId val="709676512"/>
      </c:barChart>
      <c:lineChart>
        <c:grouping val="standard"/>
        <c:varyColors val="0"/>
        <c:ser>
          <c:idx val="6"/>
          <c:order val="3"/>
          <c:tx>
            <c:strRef>
              <c:f>'SSP Figure'!$I$1</c:f>
              <c:strCache>
                <c:ptCount val="1"/>
                <c:pt idx="0">
                  <c:v>Q2 SSP</c:v>
                </c:pt>
              </c:strCache>
            </c:strRef>
          </c:tx>
          <c:spPr>
            <a:ln w="25400">
              <a:solidFill>
                <a:schemeClr val="accent5">
                  <a:lumMod val="40000"/>
                  <a:lumOff val="60000"/>
                </a:schemeClr>
              </a:solidFill>
              <a:prstDash val="sysDash"/>
            </a:ln>
          </c:spPr>
          <c:marker>
            <c:symbol val="diamond"/>
            <c:size val="6"/>
            <c:spPr>
              <a:ln w="25400"/>
            </c:spPr>
          </c:marker>
          <c:cat>
            <c:strRef>
              <c:f>'SSP Figure'!$E$2:$E$18</c:f>
              <c:strCache>
                <c:ptCount val="17"/>
                <c:pt idx="0">
                  <c:v>M21</c:v>
                </c:pt>
                <c:pt idx="1">
                  <c:v>M20C</c:v>
                </c:pt>
                <c:pt idx="2">
                  <c:v>M20B</c:v>
                </c:pt>
                <c:pt idx="3">
                  <c:v>M20A</c:v>
                </c:pt>
                <c:pt idx="4">
                  <c:v>M19B</c:v>
                </c:pt>
                <c:pt idx="5">
                  <c:v>M19A</c:v>
                </c:pt>
                <c:pt idx="6">
                  <c:v>M16</c:v>
                </c:pt>
                <c:pt idx="7">
                  <c:v>M15</c:v>
                </c:pt>
                <c:pt idx="8">
                  <c:v>M14</c:v>
                </c:pt>
                <c:pt idx="9">
                  <c:v>M13</c:v>
                </c:pt>
                <c:pt idx="10">
                  <c:v>M12</c:v>
                </c:pt>
                <c:pt idx="11">
                  <c:v>M11</c:v>
                </c:pt>
                <c:pt idx="12">
                  <c:v>M09B</c:v>
                </c:pt>
                <c:pt idx="13">
                  <c:v>M08</c:v>
                </c:pt>
                <c:pt idx="14">
                  <c:v>M06</c:v>
                </c:pt>
                <c:pt idx="15">
                  <c:v>M05</c:v>
                </c:pt>
                <c:pt idx="16">
                  <c:v>M04</c:v>
                </c:pt>
              </c:strCache>
            </c:strRef>
          </c:cat>
          <c:val>
            <c:numRef>
              <c:f>'SSP Figure'!$I$2:$I$18</c:f>
              <c:numCache>
                <c:formatCode>0</c:formatCode>
                <c:ptCount val="17"/>
                <c:pt idx="0">
                  <c:v>190.553570939145</c:v>
                </c:pt>
                <c:pt idx="1">
                  <c:v>261.24218494817598</c:v>
                </c:pt>
                <c:pt idx="2">
                  <c:v>132.64710350681199</c:v>
                </c:pt>
                <c:pt idx="3">
                  <c:v>366.890799174032</c:v>
                </c:pt>
                <c:pt idx="4">
                  <c:v>190.88595504555801</c:v>
                </c:pt>
                <c:pt idx="5">
                  <c:v>195.80510215713699</c:v>
                </c:pt>
                <c:pt idx="6">
                  <c:v>111.77243460577201</c:v>
                </c:pt>
                <c:pt idx="7">
                  <c:v>122.358003507837</c:v>
                </c:pt>
                <c:pt idx="8">
                  <c:v>106.016581491235</c:v>
                </c:pt>
                <c:pt idx="9">
                  <c:v>58.836539822529403</c:v>
                </c:pt>
                <c:pt idx="10">
                  <c:v>90.301348392828999</c:v>
                </c:pt>
                <c:pt idx="11">
                  <c:v>73.247701448761603</c:v>
                </c:pt>
                <c:pt idx="12">
                  <c:v>182.48945071845199</c:v>
                </c:pt>
                <c:pt idx="13">
                  <c:v>162.542861849644</c:v>
                </c:pt>
                <c:pt idx="14">
                  <c:v>57.730233318255102</c:v>
                </c:pt>
                <c:pt idx="15">
                  <c:v>72.238309444652501</c:v>
                </c:pt>
                <c:pt idx="16">
                  <c:v>93.449662852611198</c:v>
                </c:pt>
              </c:numCache>
            </c:numRef>
          </c:val>
          <c:smooth val="0"/>
          <c:extLst>
            <c:ext xmlns:c16="http://schemas.microsoft.com/office/drawing/2014/chart" uri="{C3380CC4-5D6E-409C-BE32-E72D297353CC}">
              <c16:uniqueId val="{0000001A-3D40-4B9A-9BD1-3F5182B8B5C0}"/>
            </c:ext>
          </c:extLst>
        </c:ser>
        <c:ser>
          <c:idx val="7"/>
          <c:order val="4"/>
          <c:tx>
            <c:strRef>
              <c:f>'SSP Figure'!$J$1</c:f>
              <c:strCache>
                <c:ptCount val="1"/>
                <c:pt idx="0">
                  <c:v>Q5 SSP</c:v>
                </c:pt>
              </c:strCache>
            </c:strRef>
          </c:tx>
          <c:spPr>
            <a:ln w="25400">
              <a:solidFill>
                <a:schemeClr val="accent5">
                  <a:lumMod val="60000"/>
                  <a:lumOff val="40000"/>
                </a:schemeClr>
              </a:solidFill>
              <a:prstDash val="sysDash"/>
            </a:ln>
          </c:spPr>
          <c:marker>
            <c:symbol val="triangle"/>
            <c:size val="6"/>
            <c:spPr>
              <a:solidFill>
                <a:schemeClr val="accent5">
                  <a:lumMod val="60000"/>
                  <a:lumOff val="40000"/>
                </a:schemeClr>
              </a:solidFill>
              <a:ln w="25400">
                <a:solidFill>
                  <a:schemeClr val="accent5">
                    <a:lumMod val="60000"/>
                    <a:lumOff val="40000"/>
                  </a:schemeClr>
                </a:solidFill>
              </a:ln>
            </c:spPr>
          </c:marker>
          <c:cat>
            <c:strRef>
              <c:f>'SSP Figure'!$E$2:$E$18</c:f>
              <c:strCache>
                <c:ptCount val="17"/>
                <c:pt idx="0">
                  <c:v>M21</c:v>
                </c:pt>
                <c:pt idx="1">
                  <c:v>M20C</c:v>
                </c:pt>
                <c:pt idx="2">
                  <c:v>M20B</c:v>
                </c:pt>
                <c:pt idx="3">
                  <c:v>M20A</c:v>
                </c:pt>
                <c:pt idx="4">
                  <c:v>M19B</c:v>
                </c:pt>
                <c:pt idx="5">
                  <c:v>M19A</c:v>
                </c:pt>
                <c:pt idx="6">
                  <c:v>M16</c:v>
                </c:pt>
                <c:pt idx="7">
                  <c:v>M15</c:v>
                </c:pt>
                <c:pt idx="8">
                  <c:v>M14</c:v>
                </c:pt>
                <c:pt idx="9">
                  <c:v>M13</c:v>
                </c:pt>
                <c:pt idx="10">
                  <c:v>M12</c:v>
                </c:pt>
                <c:pt idx="11">
                  <c:v>M11</c:v>
                </c:pt>
                <c:pt idx="12">
                  <c:v>M09B</c:v>
                </c:pt>
                <c:pt idx="13">
                  <c:v>M08</c:v>
                </c:pt>
                <c:pt idx="14">
                  <c:v>M06</c:v>
                </c:pt>
                <c:pt idx="15">
                  <c:v>M05</c:v>
                </c:pt>
                <c:pt idx="16">
                  <c:v>M04</c:v>
                </c:pt>
              </c:strCache>
            </c:strRef>
          </c:cat>
          <c:val>
            <c:numRef>
              <c:f>'SSP Figure'!$J$2:$J$18</c:f>
              <c:numCache>
                <c:formatCode>0</c:formatCode>
                <c:ptCount val="17"/>
                <c:pt idx="0">
                  <c:v>275.83832883877199</c:v>
                </c:pt>
                <c:pt idx="1">
                  <c:v>399.11865450902798</c:v>
                </c:pt>
                <c:pt idx="2">
                  <c:v>200.119378491334</c:v>
                </c:pt>
                <c:pt idx="3">
                  <c:v>532.34224190334396</c:v>
                </c:pt>
                <c:pt idx="4">
                  <c:v>303.646583168061</c:v>
                </c:pt>
                <c:pt idx="5">
                  <c:v>309.36498233083699</c:v>
                </c:pt>
                <c:pt idx="6">
                  <c:v>173.25797331627999</c:v>
                </c:pt>
                <c:pt idx="7">
                  <c:v>181.29759240578599</c:v>
                </c:pt>
                <c:pt idx="8">
                  <c:v>151.04189395624601</c:v>
                </c:pt>
                <c:pt idx="9">
                  <c:v>82.741706402216593</c:v>
                </c:pt>
                <c:pt idx="10">
                  <c:v>130.42367188456899</c:v>
                </c:pt>
                <c:pt idx="11">
                  <c:v>97.237446637520193</c:v>
                </c:pt>
                <c:pt idx="12">
                  <c:v>283.050515862346</c:v>
                </c:pt>
                <c:pt idx="13">
                  <c:v>228.075557710656</c:v>
                </c:pt>
                <c:pt idx="14">
                  <c:v>81.896132605717497</c:v>
                </c:pt>
                <c:pt idx="15">
                  <c:v>96.1549612954324</c:v>
                </c:pt>
                <c:pt idx="16">
                  <c:v>130.95075542190901</c:v>
                </c:pt>
              </c:numCache>
            </c:numRef>
          </c:val>
          <c:smooth val="0"/>
          <c:extLst>
            <c:ext xmlns:c16="http://schemas.microsoft.com/office/drawing/2014/chart" uri="{C3380CC4-5D6E-409C-BE32-E72D297353CC}">
              <c16:uniqueId val="{0000001B-3D40-4B9A-9BD1-3F5182B8B5C0}"/>
            </c:ext>
          </c:extLst>
        </c:ser>
        <c:ser>
          <c:idx val="8"/>
          <c:order val="5"/>
          <c:tx>
            <c:strRef>
              <c:f>'SSP Figure'!$K$1</c:f>
              <c:strCache>
                <c:ptCount val="1"/>
                <c:pt idx="0">
                  <c:v>Q25 SSP</c:v>
                </c:pt>
              </c:strCache>
            </c:strRef>
          </c:tx>
          <c:spPr>
            <a:ln w="25400">
              <a:solidFill>
                <a:srgbClr val="5B84CD"/>
              </a:solidFill>
              <a:prstDash val="sysDash"/>
            </a:ln>
          </c:spPr>
          <c:marker>
            <c:symbol val="x"/>
            <c:size val="5"/>
            <c:spPr>
              <a:solidFill>
                <a:srgbClr val="5B84CD"/>
              </a:solidFill>
              <a:ln w="25400">
                <a:solidFill>
                  <a:srgbClr val="5B84CD"/>
                </a:solidFill>
              </a:ln>
            </c:spPr>
          </c:marker>
          <c:cat>
            <c:strRef>
              <c:f>'SSP Figure'!$E$2:$E$18</c:f>
              <c:strCache>
                <c:ptCount val="17"/>
                <c:pt idx="0">
                  <c:v>M21</c:v>
                </c:pt>
                <c:pt idx="1">
                  <c:v>M20C</c:v>
                </c:pt>
                <c:pt idx="2">
                  <c:v>M20B</c:v>
                </c:pt>
                <c:pt idx="3">
                  <c:v>M20A</c:v>
                </c:pt>
                <c:pt idx="4">
                  <c:v>M19B</c:v>
                </c:pt>
                <c:pt idx="5">
                  <c:v>M19A</c:v>
                </c:pt>
                <c:pt idx="6">
                  <c:v>M16</c:v>
                </c:pt>
                <c:pt idx="7">
                  <c:v>M15</c:v>
                </c:pt>
                <c:pt idx="8">
                  <c:v>M14</c:v>
                </c:pt>
                <c:pt idx="9">
                  <c:v>M13</c:v>
                </c:pt>
                <c:pt idx="10">
                  <c:v>M12</c:v>
                </c:pt>
                <c:pt idx="11">
                  <c:v>M11</c:v>
                </c:pt>
                <c:pt idx="12">
                  <c:v>M09B</c:v>
                </c:pt>
                <c:pt idx="13">
                  <c:v>M08</c:v>
                </c:pt>
                <c:pt idx="14">
                  <c:v>M06</c:v>
                </c:pt>
                <c:pt idx="15">
                  <c:v>M05</c:v>
                </c:pt>
                <c:pt idx="16">
                  <c:v>M04</c:v>
                </c:pt>
              </c:strCache>
            </c:strRef>
          </c:cat>
          <c:val>
            <c:numRef>
              <c:f>'SSP Figure'!$K$2:$K$18</c:f>
              <c:numCache>
                <c:formatCode>0</c:formatCode>
                <c:ptCount val="17"/>
                <c:pt idx="0">
                  <c:v>439.669775697945</c:v>
                </c:pt>
                <c:pt idx="1">
                  <c:v>651.19289028068704</c:v>
                </c:pt>
                <c:pt idx="2">
                  <c:v>299.78475865686198</c:v>
                </c:pt>
                <c:pt idx="3">
                  <c:v>788.24773146305495</c:v>
                </c:pt>
                <c:pt idx="4">
                  <c:v>470.55188580220403</c:v>
                </c:pt>
                <c:pt idx="5">
                  <c:v>483.99247188426398</c:v>
                </c:pt>
                <c:pt idx="6">
                  <c:v>276.11438837474401</c:v>
                </c:pt>
                <c:pt idx="7">
                  <c:v>248.24423766650801</c:v>
                </c:pt>
                <c:pt idx="8">
                  <c:v>243.175452030646</c:v>
                </c:pt>
                <c:pt idx="9">
                  <c:v>125.466688043638</c:v>
                </c:pt>
                <c:pt idx="10">
                  <c:v>185.08210991770099</c:v>
                </c:pt>
                <c:pt idx="11">
                  <c:v>126.832623085469</c:v>
                </c:pt>
                <c:pt idx="12">
                  <c:v>436.08095780620698</c:v>
                </c:pt>
                <c:pt idx="13">
                  <c:v>338.93937588352497</c:v>
                </c:pt>
                <c:pt idx="14">
                  <c:v>112.723847443701</c:v>
                </c:pt>
                <c:pt idx="15">
                  <c:v>140.475668622098</c:v>
                </c:pt>
                <c:pt idx="16">
                  <c:v>204.46256274397601</c:v>
                </c:pt>
              </c:numCache>
            </c:numRef>
          </c:val>
          <c:smooth val="0"/>
          <c:extLst>
            <c:ext xmlns:c16="http://schemas.microsoft.com/office/drawing/2014/chart" uri="{C3380CC4-5D6E-409C-BE32-E72D297353CC}">
              <c16:uniqueId val="{0000001C-3D40-4B9A-9BD1-3F5182B8B5C0}"/>
            </c:ext>
          </c:extLst>
        </c:ser>
        <c:ser>
          <c:idx val="9"/>
          <c:order val="6"/>
          <c:tx>
            <c:strRef>
              <c:f>'SSP Figure'!$L$1</c:f>
              <c:strCache>
                <c:ptCount val="1"/>
                <c:pt idx="0">
                  <c:v>Q50 SSP</c:v>
                </c:pt>
              </c:strCache>
            </c:strRef>
          </c:tx>
          <c:spPr>
            <a:ln w="25400">
              <a:solidFill>
                <a:srgbClr val="7534B6"/>
              </a:solidFill>
              <a:prstDash val="sysDash"/>
            </a:ln>
          </c:spPr>
          <c:marker>
            <c:symbol val="circle"/>
            <c:size val="6"/>
            <c:spPr>
              <a:solidFill>
                <a:srgbClr val="7534B6"/>
              </a:solidFill>
              <a:ln w="25400">
                <a:solidFill>
                  <a:srgbClr val="7534B6"/>
                </a:solidFill>
              </a:ln>
            </c:spPr>
          </c:marker>
          <c:cat>
            <c:strRef>
              <c:f>'SSP Figure'!$E$2:$E$18</c:f>
              <c:strCache>
                <c:ptCount val="17"/>
                <c:pt idx="0">
                  <c:v>M21</c:v>
                </c:pt>
                <c:pt idx="1">
                  <c:v>M20C</c:v>
                </c:pt>
                <c:pt idx="2">
                  <c:v>M20B</c:v>
                </c:pt>
                <c:pt idx="3">
                  <c:v>M20A</c:v>
                </c:pt>
                <c:pt idx="4">
                  <c:v>M19B</c:v>
                </c:pt>
                <c:pt idx="5">
                  <c:v>M19A</c:v>
                </c:pt>
                <c:pt idx="6">
                  <c:v>M16</c:v>
                </c:pt>
                <c:pt idx="7">
                  <c:v>M15</c:v>
                </c:pt>
                <c:pt idx="8">
                  <c:v>M14</c:v>
                </c:pt>
                <c:pt idx="9">
                  <c:v>M13</c:v>
                </c:pt>
                <c:pt idx="10">
                  <c:v>M12</c:v>
                </c:pt>
                <c:pt idx="11">
                  <c:v>M11</c:v>
                </c:pt>
                <c:pt idx="12">
                  <c:v>M09B</c:v>
                </c:pt>
                <c:pt idx="13">
                  <c:v>M08</c:v>
                </c:pt>
                <c:pt idx="14">
                  <c:v>M06</c:v>
                </c:pt>
                <c:pt idx="15">
                  <c:v>M05</c:v>
                </c:pt>
                <c:pt idx="16">
                  <c:v>M04</c:v>
                </c:pt>
              </c:strCache>
            </c:strRef>
          </c:cat>
          <c:val>
            <c:numRef>
              <c:f>'SSP Figure'!$L$2:$L$18</c:f>
              <c:numCache>
                <c:formatCode>0</c:formatCode>
                <c:ptCount val="17"/>
                <c:pt idx="0">
                  <c:v>516.67848212160197</c:v>
                </c:pt>
                <c:pt idx="1">
                  <c:v>766.52895286565695</c:v>
                </c:pt>
                <c:pt idx="2">
                  <c:v>349.943254373466</c:v>
                </c:pt>
                <c:pt idx="3">
                  <c:v>931.28795282121405</c:v>
                </c:pt>
                <c:pt idx="4">
                  <c:v>577.87361741458699</c:v>
                </c:pt>
                <c:pt idx="5">
                  <c:v>550.601101656938</c:v>
                </c:pt>
                <c:pt idx="6">
                  <c:v>314.019141696227</c:v>
                </c:pt>
                <c:pt idx="7">
                  <c:v>274.155806193378</c:v>
                </c:pt>
                <c:pt idx="8">
                  <c:v>290.08587636315201</c:v>
                </c:pt>
                <c:pt idx="9">
                  <c:v>146.950474865388</c:v>
                </c:pt>
                <c:pt idx="10">
                  <c:v>209.984393227064</c:v>
                </c:pt>
                <c:pt idx="11">
                  <c:v>140.314737684775</c:v>
                </c:pt>
                <c:pt idx="12">
                  <c:v>493.275407151286</c:v>
                </c:pt>
                <c:pt idx="13">
                  <c:v>383.71481718091201</c:v>
                </c:pt>
                <c:pt idx="14">
                  <c:v>127.61254751385999</c:v>
                </c:pt>
                <c:pt idx="15">
                  <c:v>162.14671255845599</c:v>
                </c:pt>
                <c:pt idx="16">
                  <c:v>235.685654358802</c:v>
                </c:pt>
              </c:numCache>
            </c:numRef>
          </c:val>
          <c:smooth val="0"/>
          <c:extLst>
            <c:ext xmlns:c16="http://schemas.microsoft.com/office/drawing/2014/chart" uri="{C3380CC4-5D6E-409C-BE32-E72D297353CC}">
              <c16:uniqueId val="{0000001D-3D40-4B9A-9BD1-3F5182B8B5C0}"/>
            </c:ext>
          </c:extLst>
        </c:ser>
        <c:dLbls>
          <c:showLegendKey val="0"/>
          <c:showVal val="0"/>
          <c:showCatName val="0"/>
          <c:showSerName val="0"/>
          <c:showPercent val="0"/>
          <c:showBubbleSize val="0"/>
        </c:dLbls>
        <c:marker val="1"/>
        <c:smooth val="0"/>
        <c:axId val="709674432"/>
        <c:axId val="709676512"/>
      </c:lineChart>
      <c:catAx>
        <c:axId val="709674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Alluvial Reaches (upstream at left to downstream)</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676512"/>
        <c:crosses val="autoZero"/>
        <c:auto val="1"/>
        <c:lblAlgn val="ctr"/>
        <c:lblOffset val="100"/>
        <c:noMultiLvlLbl val="0"/>
      </c:catAx>
      <c:valAx>
        <c:axId val="709676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SSP (watts*m</a:t>
                </a:r>
                <a:r>
                  <a:rPr lang="en-US" baseline="30000"/>
                  <a:t>-2</a:t>
                </a:r>
                <a:r>
                  <a:rPr lang="en-US" baseline="0"/>
                  <a:t>)</a:t>
                </a:r>
                <a:endParaRPr lang="en-US"/>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674432"/>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5"/>
          <c:order val="0"/>
          <c:tx>
            <c:strRef>
              <c:f>'SSP Figure'!$F$1</c:f>
              <c:strCache>
                <c:ptCount val="1"/>
                <c:pt idx="0">
                  <c:v>LCL</c:v>
                </c:pt>
              </c:strCache>
            </c:strRef>
          </c:tx>
          <c:cat>
            <c:strRef>
              <c:f>'SSP Figure'!$E$2:$E$18</c:f>
              <c:strCache>
                <c:ptCount val="17"/>
                <c:pt idx="0">
                  <c:v>M21</c:v>
                </c:pt>
                <c:pt idx="1">
                  <c:v>M20C</c:v>
                </c:pt>
                <c:pt idx="2">
                  <c:v>M20B</c:v>
                </c:pt>
                <c:pt idx="3">
                  <c:v>M20A</c:v>
                </c:pt>
                <c:pt idx="4">
                  <c:v>M19B</c:v>
                </c:pt>
                <c:pt idx="5">
                  <c:v>M19A</c:v>
                </c:pt>
                <c:pt idx="6">
                  <c:v>M16</c:v>
                </c:pt>
                <c:pt idx="7">
                  <c:v>M15</c:v>
                </c:pt>
                <c:pt idx="8">
                  <c:v>M14</c:v>
                </c:pt>
                <c:pt idx="9">
                  <c:v>M13</c:v>
                </c:pt>
                <c:pt idx="10">
                  <c:v>M12</c:v>
                </c:pt>
                <c:pt idx="11">
                  <c:v>M11</c:v>
                </c:pt>
                <c:pt idx="12">
                  <c:v>M09B</c:v>
                </c:pt>
                <c:pt idx="13">
                  <c:v>M08</c:v>
                </c:pt>
                <c:pt idx="14">
                  <c:v>M06</c:v>
                </c:pt>
                <c:pt idx="15">
                  <c:v>M05</c:v>
                </c:pt>
                <c:pt idx="16">
                  <c:v>M04</c:v>
                </c:pt>
              </c:strCache>
            </c:strRef>
          </c:cat>
          <c:val>
            <c:numRef>
              <c:f>'SSP Figure'!$F$2:$F$18</c:f>
              <c:numCache>
                <c:formatCode>General</c:formatCode>
                <c:ptCount val="17"/>
                <c:pt idx="0">
                  <c:v>405.044149093285</c:v>
                </c:pt>
                <c:pt idx="1">
                  <c:v>490.70852093603401</c:v>
                </c:pt>
                <c:pt idx="2">
                  <c:v>530.32655941708003</c:v>
                </c:pt>
                <c:pt idx="3">
                  <c:v>295.70855496693298</c:v>
                </c:pt>
                <c:pt idx="4">
                  <c:v>247.85238282421699</c:v>
                </c:pt>
                <c:pt idx="5">
                  <c:v>117.042985944234</c:v>
                </c:pt>
                <c:pt idx="6">
                  <c:v>417.93043933819598</c:v>
                </c:pt>
                <c:pt idx="7">
                  <c:v>420.09324898966798</c:v>
                </c:pt>
                <c:pt idx="8">
                  <c:v>360.32125948299301</c:v>
                </c:pt>
                <c:pt idx="9">
                  <c:v>238.08659941981401</c:v>
                </c:pt>
                <c:pt idx="10">
                  <c:v>374.01872307616799</c:v>
                </c:pt>
                <c:pt idx="11">
                  <c:v>143.04332870333801</c:v>
                </c:pt>
                <c:pt idx="12">
                  <c:v>318.67200792401798</c:v>
                </c:pt>
                <c:pt idx="13">
                  <c:v>272.47096391357297</c:v>
                </c:pt>
                <c:pt idx="14">
                  <c:v>139.37132086486301</c:v>
                </c:pt>
                <c:pt idx="15">
                  <c:v>77.892847846711703</c:v>
                </c:pt>
                <c:pt idx="16">
                  <c:v>170.02069640478601</c:v>
                </c:pt>
              </c:numCache>
            </c:numRef>
          </c:val>
          <c:smooth val="0"/>
          <c:extLst>
            <c:ext xmlns:c16="http://schemas.microsoft.com/office/drawing/2014/chart" uri="{C3380CC4-5D6E-409C-BE32-E72D297353CC}">
              <c16:uniqueId val="{00000000-24F9-497B-BA9E-302847F6F7D1}"/>
            </c:ext>
          </c:extLst>
        </c:ser>
        <c:ser>
          <c:idx val="6"/>
          <c:order val="1"/>
          <c:tx>
            <c:strRef>
              <c:f>'SSP Figure'!$I$1</c:f>
              <c:strCache>
                <c:ptCount val="1"/>
                <c:pt idx="0">
                  <c:v>Q2 SSP</c:v>
                </c:pt>
              </c:strCache>
            </c:strRef>
          </c:tx>
          <c:spPr>
            <a:ln w="12700">
              <a:prstDash val="sysDash"/>
            </a:ln>
          </c:spPr>
          <c:cat>
            <c:strRef>
              <c:f>'SSP Figure'!$E$2:$E$18</c:f>
              <c:strCache>
                <c:ptCount val="17"/>
                <c:pt idx="0">
                  <c:v>M21</c:v>
                </c:pt>
                <c:pt idx="1">
                  <c:v>M20C</c:v>
                </c:pt>
                <c:pt idx="2">
                  <c:v>M20B</c:v>
                </c:pt>
                <c:pt idx="3">
                  <c:v>M20A</c:v>
                </c:pt>
                <c:pt idx="4">
                  <c:v>M19B</c:v>
                </c:pt>
                <c:pt idx="5">
                  <c:v>M19A</c:v>
                </c:pt>
                <c:pt idx="6">
                  <c:v>M16</c:v>
                </c:pt>
                <c:pt idx="7">
                  <c:v>M15</c:v>
                </c:pt>
                <c:pt idx="8">
                  <c:v>M14</c:v>
                </c:pt>
                <c:pt idx="9">
                  <c:v>M13</c:v>
                </c:pt>
                <c:pt idx="10">
                  <c:v>M12</c:v>
                </c:pt>
                <c:pt idx="11">
                  <c:v>M11</c:v>
                </c:pt>
                <c:pt idx="12">
                  <c:v>M09B</c:v>
                </c:pt>
                <c:pt idx="13">
                  <c:v>M08</c:v>
                </c:pt>
                <c:pt idx="14">
                  <c:v>M06</c:v>
                </c:pt>
                <c:pt idx="15">
                  <c:v>M05</c:v>
                </c:pt>
                <c:pt idx="16">
                  <c:v>M04</c:v>
                </c:pt>
              </c:strCache>
            </c:strRef>
          </c:cat>
          <c:val>
            <c:numRef>
              <c:f>'SSP Figure'!$I$2:$I$18</c:f>
              <c:numCache>
                <c:formatCode>0</c:formatCode>
                <c:ptCount val="17"/>
                <c:pt idx="0">
                  <c:v>190.553570939145</c:v>
                </c:pt>
                <c:pt idx="1">
                  <c:v>261.24218494817598</c:v>
                </c:pt>
                <c:pt idx="2">
                  <c:v>132.64710350681199</c:v>
                </c:pt>
                <c:pt idx="3">
                  <c:v>366.890799174032</c:v>
                </c:pt>
                <c:pt idx="4">
                  <c:v>190.88595504555801</c:v>
                </c:pt>
                <c:pt idx="5">
                  <c:v>195.80510215713699</c:v>
                </c:pt>
                <c:pt idx="6">
                  <c:v>111.77243460577201</c:v>
                </c:pt>
                <c:pt idx="7">
                  <c:v>122.358003507837</c:v>
                </c:pt>
                <c:pt idx="8">
                  <c:v>106.016581491235</c:v>
                </c:pt>
                <c:pt idx="9">
                  <c:v>58.836539822529403</c:v>
                </c:pt>
                <c:pt idx="10">
                  <c:v>90.301348392828999</c:v>
                </c:pt>
                <c:pt idx="11">
                  <c:v>73.247701448761603</c:v>
                </c:pt>
                <c:pt idx="12">
                  <c:v>182.48945071845199</c:v>
                </c:pt>
                <c:pt idx="13">
                  <c:v>162.542861849644</c:v>
                </c:pt>
                <c:pt idx="14">
                  <c:v>57.730233318255102</c:v>
                </c:pt>
                <c:pt idx="15">
                  <c:v>72.238309444652501</c:v>
                </c:pt>
                <c:pt idx="16">
                  <c:v>93.449662852611198</c:v>
                </c:pt>
              </c:numCache>
            </c:numRef>
          </c:val>
          <c:smooth val="0"/>
          <c:extLst>
            <c:ext xmlns:c16="http://schemas.microsoft.com/office/drawing/2014/chart" uri="{C3380CC4-5D6E-409C-BE32-E72D297353CC}">
              <c16:uniqueId val="{00000001-24F9-497B-BA9E-302847F6F7D1}"/>
            </c:ext>
          </c:extLst>
        </c:ser>
        <c:ser>
          <c:idx val="7"/>
          <c:order val="2"/>
          <c:tx>
            <c:strRef>
              <c:f>'SSP Figure'!$J$1</c:f>
              <c:strCache>
                <c:ptCount val="1"/>
                <c:pt idx="0">
                  <c:v>Q5 SSP</c:v>
                </c:pt>
              </c:strCache>
            </c:strRef>
          </c:tx>
          <c:spPr>
            <a:ln w="12700">
              <a:prstDash val="sysDash"/>
            </a:ln>
          </c:spPr>
          <c:cat>
            <c:strRef>
              <c:f>'SSP Figure'!$E$2:$E$18</c:f>
              <c:strCache>
                <c:ptCount val="17"/>
                <c:pt idx="0">
                  <c:v>M21</c:v>
                </c:pt>
                <c:pt idx="1">
                  <c:v>M20C</c:v>
                </c:pt>
                <c:pt idx="2">
                  <c:v>M20B</c:v>
                </c:pt>
                <c:pt idx="3">
                  <c:v>M20A</c:v>
                </c:pt>
                <c:pt idx="4">
                  <c:v>M19B</c:v>
                </c:pt>
                <c:pt idx="5">
                  <c:v>M19A</c:v>
                </c:pt>
                <c:pt idx="6">
                  <c:v>M16</c:v>
                </c:pt>
                <c:pt idx="7">
                  <c:v>M15</c:v>
                </c:pt>
                <c:pt idx="8">
                  <c:v>M14</c:v>
                </c:pt>
                <c:pt idx="9">
                  <c:v>M13</c:v>
                </c:pt>
                <c:pt idx="10">
                  <c:v>M12</c:v>
                </c:pt>
                <c:pt idx="11">
                  <c:v>M11</c:v>
                </c:pt>
                <c:pt idx="12">
                  <c:v>M09B</c:v>
                </c:pt>
                <c:pt idx="13">
                  <c:v>M08</c:v>
                </c:pt>
                <c:pt idx="14">
                  <c:v>M06</c:v>
                </c:pt>
                <c:pt idx="15">
                  <c:v>M05</c:v>
                </c:pt>
                <c:pt idx="16">
                  <c:v>M04</c:v>
                </c:pt>
              </c:strCache>
            </c:strRef>
          </c:cat>
          <c:val>
            <c:numRef>
              <c:f>'SSP Figure'!$J$2:$J$18</c:f>
              <c:numCache>
                <c:formatCode>0</c:formatCode>
                <c:ptCount val="17"/>
                <c:pt idx="0">
                  <c:v>275.83832883877199</c:v>
                </c:pt>
                <c:pt idx="1">
                  <c:v>399.11865450902798</c:v>
                </c:pt>
                <c:pt idx="2">
                  <c:v>200.119378491334</c:v>
                </c:pt>
                <c:pt idx="3">
                  <c:v>532.34224190334396</c:v>
                </c:pt>
                <c:pt idx="4">
                  <c:v>303.646583168061</c:v>
                </c:pt>
                <c:pt idx="5">
                  <c:v>309.36498233083699</c:v>
                </c:pt>
                <c:pt idx="6">
                  <c:v>173.25797331627999</c:v>
                </c:pt>
                <c:pt idx="7">
                  <c:v>181.29759240578599</c:v>
                </c:pt>
                <c:pt idx="8">
                  <c:v>151.04189395624601</c:v>
                </c:pt>
                <c:pt idx="9">
                  <c:v>82.741706402216593</c:v>
                </c:pt>
                <c:pt idx="10">
                  <c:v>130.42367188456899</c:v>
                </c:pt>
                <c:pt idx="11">
                  <c:v>97.237446637520193</c:v>
                </c:pt>
                <c:pt idx="12">
                  <c:v>283.050515862346</c:v>
                </c:pt>
                <c:pt idx="13">
                  <c:v>228.075557710656</c:v>
                </c:pt>
                <c:pt idx="14">
                  <c:v>81.896132605717497</c:v>
                </c:pt>
                <c:pt idx="15">
                  <c:v>96.1549612954324</c:v>
                </c:pt>
                <c:pt idx="16">
                  <c:v>130.95075542190901</c:v>
                </c:pt>
              </c:numCache>
            </c:numRef>
          </c:val>
          <c:smooth val="0"/>
          <c:extLst>
            <c:ext xmlns:c16="http://schemas.microsoft.com/office/drawing/2014/chart" uri="{C3380CC4-5D6E-409C-BE32-E72D297353CC}">
              <c16:uniqueId val="{00000002-24F9-497B-BA9E-302847F6F7D1}"/>
            </c:ext>
          </c:extLst>
        </c:ser>
        <c:ser>
          <c:idx val="8"/>
          <c:order val="3"/>
          <c:tx>
            <c:strRef>
              <c:f>'SSP Figure'!$K$1</c:f>
              <c:strCache>
                <c:ptCount val="1"/>
                <c:pt idx="0">
                  <c:v>Q25 SSP</c:v>
                </c:pt>
              </c:strCache>
            </c:strRef>
          </c:tx>
          <c:spPr>
            <a:ln w="12700">
              <a:prstDash val="sysDash"/>
            </a:ln>
          </c:spPr>
          <c:cat>
            <c:strRef>
              <c:f>'SSP Figure'!$E$2:$E$18</c:f>
              <c:strCache>
                <c:ptCount val="17"/>
                <c:pt idx="0">
                  <c:v>M21</c:v>
                </c:pt>
                <c:pt idx="1">
                  <c:v>M20C</c:v>
                </c:pt>
                <c:pt idx="2">
                  <c:v>M20B</c:v>
                </c:pt>
                <c:pt idx="3">
                  <c:v>M20A</c:v>
                </c:pt>
                <c:pt idx="4">
                  <c:v>M19B</c:v>
                </c:pt>
                <c:pt idx="5">
                  <c:v>M19A</c:v>
                </c:pt>
                <c:pt idx="6">
                  <c:v>M16</c:v>
                </c:pt>
                <c:pt idx="7">
                  <c:v>M15</c:v>
                </c:pt>
                <c:pt idx="8">
                  <c:v>M14</c:v>
                </c:pt>
                <c:pt idx="9">
                  <c:v>M13</c:v>
                </c:pt>
                <c:pt idx="10">
                  <c:v>M12</c:v>
                </c:pt>
                <c:pt idx="11">
                  <c:v>M11</c:v>
                </c:pt>
                <c:pt idx="12">
                  <c:v>M09B</c:v>
                </c:pt>
                <c:pt idx="13">
                  <c:v>M08</c:v>
                </c:pt>
                <c:pt idx="14">
                  <c:v>M06</c:v>
                </c:pt>
                <c:pt idx="15">
                  <c:v>M05</c:v>
                </c:pt>
                <c:pt idx="16">
                  <c:v>M04</c:v>
                </c:pt>
              </c:strCache>
            </c:strRef>
          </c:cat>
          <c:val>
            <c:numRef>
              <c:f>'SSP Figure'!$K$2:$K$18</c:f>
              <c:numCache>
                <c:formatCode>0</c:formatCode>
                <c:ptCount val="17"/>
                <c:pt idx="0">
                  <c:v>439.669775697945</c:v>
                </c:pt>
                <c:pt idx="1">
                  <c:v>651.19289028068704</c:v>
                </c:pt>
                <c:pt idx="2">
                  <c:v>299.78475865686198</c:v>
                </c:pt>
                <c:pt idx="3">
                  <c:v>788.24773146305495</c:v>
                </c:pt>
                <c:pt idx="4">
                  <c:v>470.55188580220403</c:v>
                </c:pt>
                <c:pt idx="5">
                  <c:v>483.99247188426398</c:v>
                </c:pt>
                <c:pt idx="6">
                  <c:v>276.11438837474401</c:v>
                </c:pt>
                <c:pt idx="7">
                  <c:v>248.24423766650801</c:v>
                </c:pt>
                <c:pt idx="8">
                  <c:v>243.175452030646</c:v>
                </c:pt>
                <c:pt idx="9">
                  <c:v>125.466688043638</c:v>
                </c:pt>
                <c:pt idx="10">
                  <c:v>185.08210991770099</c:v>
                </c:pt>
                <c:pt idx="11">
                  <c:v>126.832623085469</c:v>
                </c:pt>
                <c:pt idx="12">
                  <c:v>436.08095780620698</c:v>
                </c:pt>
                <c:pt idx="13">
                  <c:v>338.93937588352497</c:v>
                </c:pt>
                <c:pt idx="14">
                  <c:v>112.723847443701</c:v>
                </c:pt>
                <c:pt idx="15">
                  <c:v>140.475668622098</c:v>
                </c:pt>
                <c:pt idx="16">
                  <c:v>204.46256274397601</c:v>
                </c:pt>
              </c:numCache>
            </c:numRef>
          </c:val>
          <c:smooth val="0"/>
          <c:extLst>
            <c:ext xmlns:c16="http://schemas.microsoft.com/office/drawing/2014/chart" uri="{C3380CC4-5D6E-409C-BE32-E72D297353CC}">
              <c16:uniqueId val="{00000003-24F9-497B-BA9E-302847F6F7D1}"/>
            </c:ext>
          </c:extLst>
        </c:ser>
        <c:ser>
          <c:idx val="9"/>
          <c:order val="4"/>
          <c:tx>
            <c:strRef>
              <c:f>'SSP Figure'!$L$1</c:f>
              <c:strCache>
                <c:ptCount val="1"/>
                <c:pt idx="0">
                  <c:v>Q50 SSP</c:v>
                </c:pt>
              </c:strCache>
            </c:strRef>
          </c:tx>
          <c:spPr>
            <a:ln w="12700">
              <a:prstDash val="sysDash"/>
            </a:ln>
          </c:spPr>
          <c:cat>
            <c:strRef>
              <c:f>'SSP Figure'!$E$2:$E$18</c:f>
              <c:strCache>
                <c:ptCount val="17"/>
                <c:pt idx="0">
                  <c:v>M21</c:v>
                </c:pt>
                <c:pt idx="1">
                  <c:v>M20C</c:v>
                </c:pt>
                <c:pt idx="2">
                  <c:v>M20B</c:v>
                </c:pt>
                <c:pt idx="3">
                  <c:v>M20A</c:v>
                </c:pt>
                <c:pt idx="4">
                  <c:v>M19B</c:v>
                </c:pt>
                <c:pt idx="5">
                  <c:v>M19A</c:v>
                </c:pt>
                <c:pt idx="6">
                  <c:v>M16</c:v>
                </c:pt>
                <c:pt idx="7">
                  <c:v>M15</c:v>
                </c:pt>
                <c:pt idx="8">
                  <c:v>M14</c:v>
                </c:pt>
                <c:pt idx="9">
                  <c:v>M13</c:v>
                </c:pt>
                <c:pt idx="10">
                  <c:v>M12</c:v>
                </c:pt>
                <c:pt idx="11">
                  <c:v>M11</c:v>
                </c:pt>
                <c:pt idx="12">
                  <c:v>M09B</c:v>
                </c:pt>
                <c:pt idx="13">
                  <c:v>M08</c:v>
                </c:pt>
                <c:pt idx="14">
                  <c:v>M06</c:v>
                </c:pt>
                <c:pt idx="15">
                  <c:v>M05</c:v>
                </c:pt>
                <c:pt idx="16">
                  <c:v>M04</c:v>
                </c:pt>
              </c:strCache>
            </c:strRef>
          </c:cat>
          <c:val>
            <c:numRef>
              <c:f>'SSP Figure'!$L$2:$L$18</c:f>
              <c:numCache>
                <c:formatCode>0</c:formatCode>
                <c:ptCount val="17"/>
                <c:pt idx="0">
                  <c:v>516.67848212160197</c:v>
                </c:pt>
                <c:pt idx="1">
                  <c:v>766.52895286565695</c:v>
                </c:pt>
                <c:pt idx="2">
                  <c:v>349.943254373466</c:v>
                </c:pt>
                <c:pt idx="3">
                  <c:v>931.28795282121405</c:v>
                </c:pt>
                <c:pt idx="4">
                  <c:v>577.87361741458699</c:v>
                </c:pt>
                <c:pt idx="5">
                  <c:v>550.601101656938</c:v>
                </c:pt>
                <c:pt idx="6">
                  <c:v>314.019141696227</c:v>
                </c:pt>
                <c:pt idx="7">
                  <c:v>274.155806193378</c:v>
                </c:pt>
                <c:pt idx="8">
                  <c:v>290.08587636315201</c:v>
                </c:pt>
                <c:pt idx="9">
                  <c:v>146.950474865388</c:v>
                </c:pt>
                <c:pt idx="10">
                  <c:v>209.984393227064</c:v>
                </c:pt>
                <c:pt idx="11">
                  <c:v>140.314737684775</c:v>
                </c:pt>
                <c:pt idx="12">
                  <c:v>493.275407151286</c:v>
                </c:pt>
                <c:pt idx="13">
                  <c:v>383.71481718091201</c:v>
                </c:pt>
                <c:pt idx="14">
                  <c:v>127.61254751385999</c:v>
                </c:pt>
                <c:pt idx="15">
                  <c:v>162.14671255845599</c:v>
                </c:pt>
                <c:pt idx="16">
                  <c:v>235.685654358802</c:v>
                </c:pt>
              </c:numCache>
            </c:numRef>
          </c:val>
          <c:smooth val="0"/>
          <c:extLst>
            <c:ext xmlns:c16="http://schemas.microsoft.com/office/drawing/2014/chart" uri="{C3380CC4-5D6E-409C-BE32-E72D297353CC}">
              <c16:uniqueId val="{00000004-24F9-497B-BA9E-302847F6F7D1}"/>
            </c:ext>
          </c:extLst>
        </c:ser>
        <c:ser>
          <c:idx val="0"/>
          <c:order val="5"/>
          <c:tx>
            <c:strRef>
              <c:f>'SSP Figure'!$F$1</c:f>
              <c:strCache>
                <c:ptCount val="1"/>
                <c:pt idx="0">
                  <c:v>LCL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'SSP Figure'!$E$2:$E$18</c:f>
              <c:strCache>
                <c:ptCount val="17"/>
                <c:pt idx="0">
                  <c:v>M21</c:v>
                </c:pt>
                <c:pt idx="1">
                  <c:v>M20C</c:v>
                </c:pt>
                <c:pt idx="2">
                  <c:v>M20B</c:v>
                </c:pt>
                <c:pt idx="3">
                  <c:v>M20A</c:v>
                </c:pt>
                <c:pt idx="4">
                  <c:v>M19B</c:v>
                </c:pt>
                <c:pt idx="5">
                  <c:v>M19A</c:v>
                </c:pt>
                <c:pt idx="6">
                  <c:v>M16</c:v>
                </c:pt>
                <c:pt idx="7">
                  <c:v>M15</c:v>
                </c:pt>
                <c:pt idx="8">
                  <c:v>M14</c:v>
                </c:pt>
                <c:pt idx="9">
                  <c:v>M13</c:v>
                </c:pt>
                <c:pt idx="10">
                  <c:v>M12</c:v>
                </c:pt>
                <c:pt idx="11">
                  <c:v>M11</c:v>
                </c:pt>
                <c:pt idx="12">
                  <c:v>M09B</c:v>
                </c:pt>
                <c:pt idx="13">
                  <c:v>M08</c:v>
                </c:pt>
                <c:pt idx="14">
                  <c:v>M06</c:v>
                </c:pt>
                <c:pt idx="15">
                  <c:v>M05</c:v>
                </c:pt>
                <c:pt idx="16">
                  <c:v>M04</c:v>
                </c:pt>
              </c:strCache>
            </c:strRef>
          </c:cat>
          <c:val>
            <c:numRef>
              <c:f>'SSP Figure'!$F$2:$F$18</c:f>
              <c:numCache>
                <c:formatCode>General</c:formatCode>
                <c:ptCount val="17"/>
                <c:pt idx="0">
                  <c:v>405.044149093285</c:v>
                </c:pt>
                <c:pt idx="1">
                  <c:v>490.70852093603401</c:v>
                </c:pt>
                <c:pt idx="2">
                  <c:v>530.32655941708003</c:v>
                </c:pt>
                <c:pt idx="3">
                  <c:v>295.70855496693298</c:v>
                </c:pt>
                <c:pt idx="4">
                  <c:v>247.85238282421699</c:v>
                </c:pt>
                <c:pt idx="5">
                  <c:v>117.042985944234</c:v>
                </c:pt>
                <c:pt idx="6">
                  <c:v>417.93043933819598</c:v>
                </c:pt>
                <c:pt idx="7">
                  <c:v>420.09324898966798</c:v>
                </c:pt>
                <c:pt idx="8">
                  <c:v>360.32125948299301</c:v>
                </c:pt>
                <c:pt idx="9">
                  <c:v>238.08659941981401</c:v>
                </c:pt>
                <c:pt idx="10">
                  <c:v>374.01872307616799</c:v>
                </c:pt>
                <c:pt idx="11">
                  <c:v>143.04332870333801</c:v>
                </c:pt>
                <c:pt idx="12">
                  <c:v>318.67200792401798</c:v>
                </c:pt>
                <c:pt idx="13">
                  <c:v>272.47096391357297</c:v>
                </c:pt>
                <c:pt idx="14">
                  <c:v>139.37132086486301</c:v>
                </c:pt>
                <c:pt idx="15">
                  <c:v>77.892847846711703</c:v>
                </c:pt>
                <c:pt idx="16">
                  <c:v>170.02069640478601</c:v>
                </c:pt>
              </c:numCache>
            </c:numRef>
          </c:val>
          <c:smooth val="0"/>
          <c:extLst>
            <c:ext xmlns:c16="http://schemas.microsoft.com/office/drawing/2014/chart" uri="{C3380CC4-5D6E-409C-BE32-E72D297353CC}">
              <c16:uniqueId val="{00000005-24F9-497B-BA9E-302847F6F7D1}"/>
            </c:ext>
          </c:extLst>
        </c:ser>
        <c:ser>
          <c:idx val="1"/>
          <c:order val="6"/>
          <c:tx>
            <c:strRef>
              <c:f>'SSP Figure'!$I$1</c:f>
              <c:strCache>
                <c:ptCount val="1"/>
                <c:pt idx="0">
                  <c:v>Q2 SSP</c:v>
                </c:pt>
              </c:strCache>
            </c:strRef>
          </c:tx>
          <c:spPr>
            <a:ln w="12700" cap="rnd">
              <a:solidFill>
                <a:schemeClr val="accent2"/>
              </a:solidFill>
              <a:prstDash val="sysDash"/>
              <a:round/>
            </a:ln>
            <a:effectLst/>
          </c:spPr>
          <c:marker>
            <c:symbol val="circle"/>
            <c:size val="5"/>
            <c:spPr>
              <a:solidFill>
                <a:schemeClr val="accent2"/>
              </a:solidFill>
              <a:ln w="9525">
                <a:solidFill>
                  <a:schemeClr val="accent2"/>
                </a:solidFill>
              </a:ln>
              <a:effectLst/>
            </c:spPr>
          </c:marker>
          <c:cat>
            <c:strRef>
              <c:f>'SSP Figure'!$E$2:$E$18</c:f>
              <c:strCache>
                <c:ptCount val="17"/>
                <c:pt idx="0">
                  <c:v>M21</c:v>
                </c:pt>
                <c:pt idx="1">
                  <c:v>M20C</c:v>
                </c:pt>
                <c:pt idx="2">
                  <c:v>M20B</c:v>
                </c:pt>
                <c:pt idx="3">
                  <c:v>M20A</c:v>
                </c:pt>
                <c:pt idx="4">
                  <c:v>M19B</c:v>
                </c:pt>
                <c:pt idx="5">
                  <c:v>M19A</c:v>
                </c:pt>
                <c:pt idx="6">
                  <c:v>M16</c:v>
                </c:pt>
                <c:pt idx="7">
                  <c:v>M15</c:v>
                </c:pt>
                <c:pt idx="8">
                  <c:v>M14</c:v>
                </c:pt>
                <c:pt idx="9">
                  <c:v>M13</c:v>
                </c:pt>
                <c:pt idx="10">
                  <c:v>M12</c:v>
                </c:pt>
                <c:pt idx="11">
                  <c:v>M11</c:v>
                </c:pt>
                <c:pt idx="12">
                  <c:v>M09B</c:v>
                </c:pt>
                <c:pt idx="13">
                  <c:v>M08</c:v>
                </c:pt>
                <c:pt idx="14">
                  <c:v>M06</c:v>
                </c:pt>
                <c:pt idx="15">
                  <c:v>M05</c:v>
                </c:pt>
                <c:pt idx="16">
                  <c:v>M04</c:v>
                </c:pt>
              </c:strCache>
            </c:strRef>
          </c:cat>
          <c:val>
            <c:numRef>
              <c:f>'SSP Figure'!$I$2:$I$18</c:f>
              <c:numCache>
                <c:formatCode>0</c:formatCode>
                <c:ptCount val="17"/>
                <c:pt idx="0">
                  <c:v>190.553570939145</c:v>
                </c:pt>
                <c:pt idx="1">
                  <c:v>261.24218494817598</c:v>
                </c:pt>
                <c:pt idx="2">
                  <c:v>132.64710350681199</c:v>
                </c:pt>
                <c:pt idx="3">
                  <c:v>366.890799174032</c:v>
                </c:pt>
                <c:pt idx="4">
                  <c:v>190.88595504555801</c:v>
                </c:pt>
                <c:pt idx="5">
                  <c:v>195.80510215713699</c:v>
                </c:pt>
                <c:pt idx="6">
                  <c:v>111.77243460577201</c:v>
                </c:pt>
                <c:pt idx="7">
                  <c:v>122.358003507837</c:v>
                </c:pt>
                <c:pt idx="8">
                  <c:v>106.016581491235</c:v>
                </c:pt>
                <c:pt idx="9">
                  <c:v>58.836539822529403</c:v>
                </c:pt>
                <c:pt idx="10">
                  <c:v>90.301348392828999</c:v>
                </c:pt>
                <c:pt idx="11">
                  <c:v>73.247701448761603</c:v>
                </c:pt>
                <c:pt idx="12">
                  <c:v>182.48945071845199</c:v>
                </c:pt>
                <c:pt idx="13">
                  <c:v>162.542861849644</c:v>
                </c:pt>
                <c:pt idx="14">
                  <c:v>57.730233318255102</c:v>
                </c:pt>
                <c:pt idx="15">
                  <c:v>72.238309444652501</c:v>
                </c:pt>
                <c:pt idx="16">
                  <c:v>93.449662852611198</c:v>
                </c:pt>
              </c:numCache>
            </c:numRef>
          </c:val>
          <c:smooth val="0"/>
          <c:extLst>
            <c:ext xmlns:c16="http://schemas.microsoft.com/office/drawing/2014/chart" uri="{C3380CC4-5D6E-409C-BE32-E72D297353CC}">
              <c16:uniqueId val="{00000006-24F9-497B-BA9E-302847F6F7D1}"/>
            </c:ext>
          </c:extLst>
        </c:ser>
        <c:ser>
          <c:idx val="2"/>
          <c:order val="7"/>
          <c:tx>
            <c:strRef>
              <c:f>'SSP Figure'!$J$1</c:f>
              <c:strCache>
                <c:ptCount val="1"/>
                <c:pt idx="0">
                  <c:v>Q5 SSP</c:v>
                </c:pt>
              </c:strCache>
            </c:strRef>
          </c:tx>
          <c:spPr>
            <a:ln w="12700" cap="rnd">
              <a:solidFill>
                <a:schemeClr val="accent3"/>
              </a:solidFill>
              <a:prstDash val="sysDash"/>
              <a:round/>
            </a:ln>
            <a:effectLst/>
          </c:spPr>
          <c:marker>
            <c:symbol val="circle"/>
            <c:size val="5"/>
            <c:spPr>
              <a:solidFill>
                <a:schemeClr val="accent3"/>
              </a:solidFill>
              <a:ln w="9525">
                <a:solidFill>
                  <a:schemeClr val="accent3"/>
                </a:solidFill>
              </a:ln>
              <a:effectLst/>
            </c:spPr>
          </c:marker>
          <c:cat>
            <c:strRef>
              <c:f>'SSP Figure'!$E$2:$E$18</c:f>
              <c:strCache>
                <c:ptCount val="17"/>
                <c:pt idx="0">
                  <c:v>M21</c:v>
                </c:pt>
                <c:pt idx="1">
                  <c:v>M20C</c:v>
                </c:pt>
                <c:pt idx="2">
                  <c:v>M20B</c:v>
                </c:pt>
                <c:pt idx="3">
                  <c:v>M20A</c:v>
                </c:pt>
                <c:pt idx="4">
                  <c:v>M19B</c:v>
                </c:pt>
                <c:pt idx="5">
                  <c:v>M19A</c:v>
                </c:pt>
                <c:pt idx="6">
                  <c:v>M16</c:v>
                </c:pt>
                <c:pt idx="7">
                  <c:v>M15</c:v>
                </c:pt>
                <c:pt idx="8">
                  <c:v>M14</c:v>
                </c:pt>
                <c:pt idx="9">
                  <c:v>M13</c:v>
                </c:pt>
                <c:pt idx="10">
                  <c:v>M12</c:v>
                </c:pt>
                <c:pt idx="11">
                  <c:v>M11</c:v>
                </c:pt>
                <c:pt idx="12">
                  <c:v>M09B</c:v>
                </c:pt>
                <c:pt idx="13">
                  <c:v>M08</c:v>
                </c:pt>
                <c:pt idx="14">
                  <c:v>M06</c:v>
                </c:pt>
                <c:pt idx="15">
                  <c:v>M05</c:v>
                </c:pt>
                <c:pt idx="16">
                  <c:v>M04</c:v>
                </c:pt>
              </c:strCache>
            </c:strRef>
          </c:cat>
          <c:val>
            <c:numRef>
              <c:f>'SSP Figure'!$J$2:$J$18</c:f>
              <c:numCache>
                <c:formatCode>0</c:formatCode>
                <c:ptCount val="17"/>
                <c:pt idx="0">
                  <c:v>275.83832883877199</c:v>
                </c:pt>
                <c:pt idx="1">
                  <c:v>399.11865450902798</c:v>
                </c:pt>
                <c:pt idx="2">
                  <c:v>200.119378491334</c:v>
                </c:pt>
                <c:pt idx="3">
                  <c:v>532.34224190334396</c:v>
                </c:pt>
                <c:pt idx="4">
                  <c:v>303.646583168061</c:v>
                </c:pt>
                <c:pt idx="5">
                  <c:v>309.36498233083699</c:v>
                </c:pt>
                <c:pt idx="6">
                  <c:v>173.25797331627999</c:v>
                </c:pt>
                <c:pt idx="7">
                  <c:v>181.29759240578599</c:v>
                </c:pt>
                <c:pt idx="8">
                  <c:v>151.04189395624601</c:v>
                </c:pt>
                <c:pt idx="9">
                  <c:v>82.741706402216593</c:v>
                </c:pt>
                <c:pt idx="10">
                  <c:v>130.42367188456899</c:v>
                </c:pt>
                <c:pt idx="11">
                  <c:v>97.237446637520193</c:v>
                </c:pt>
                <c:pt idx="12">
                  <c:v>283.050515862346</c:v>
                </c:pt>
                <c:pt idx="13">
                  <c:v>228.075557710656</c:v>
                </c:pt>
                <c:pt idx="14">
                  <c:v>81.896132605717497</c:v>
                </c:pt>
                <c:pt idx="15">
                  <c:v>96.1549612954324</c:v>
                </c:pt>
                <c:pt idx="16">
                  <c:v>130.95075542190901</c:v>
                </c:pt>
              </c:numCache>
            </c:numRef>
          </c:val>
          <c:smooth val="0"/>
          <c:extLst>
            <c:ext xmlns:c16="http://schemas.microsoft.com/office/drawing/2014/chart" uri="{C3380CC4-5D6E-409C-BE32-E72D297353CC}">
              <c16:uniqueId val="{00000007-24F9-497B-BA9E-302847F6F7D1}"/>
            </c:ext>
          </c:extLst>
        </c:ser>
        <c:ser>
          <c:idx val="3"/>
          <c:order val="8"/>
          <c:tx>
            <c:strRef>
              <c:f>'SSP Figure'!$K$1</c:f>
              <c:strCache>
                <c:ptCount val="1"/>
                <c:pt idx="0">
                  <c:v>Q25 SSP</c:v>
                </c:pt>
              </c:strCache>
            </c:strRef>
          </c:tx>
          <c:spPr>
            <a:ln w="12700" cap="rnd">
              <a:solidFill>
                <a:schemeClr val="accent4"/>
              </a:solidFill>
              <a:prstDash val="sysDash"/>
              <a:round/>
            </a:ln>
            <a:effectLst/>
          </c:spPr>
          <c:marker>
            <c:symbol val="circle"/>
            <c:size val="5"/>
            <c:spPr>
              <a:solidFill>
                <a:schemeClr val="accent4"/>
              </a:solidFill>
              <a:ln w="9525">
                <a:solidFill>
                  <a:schemeClr val="accent4"/>
                </a:solidFill>
              </a:ln>
              <a:effectLst/>
            </c:spPr>
          </c:marker>
          <c:cat>
            <c:strRef>
              <c:f>'SSP Figure'!$E$2:$E$18</c:f>
              <c:strCache>
                <c:ptCount val="17"/>
                <c:pt idx="0">
                  <c:v>M21</c:v>
                </c:pt>
                <c:pt idx="1">
                  <c:v>M20C</c:v>
                </c:pt>
                <c:pt idx="2">
                  <c:v>M20B</c:v>
                </c:pt>
                <c:pt idx="3">
                  <c:v>M20A</c:v>
                </c:pt>
                <c:pt idx="4">
                  <c:v>M19B</c:v>
                </c:pt>
                <c:pt idx="5">
                  <c:v>M19A</c:v>
                </c:pt>
                <c:pt idx="6">
                  <c:v>M16</c:v>
                </c:pt>
                <c:pt idx="7">
                  <c:v>M15</c:v>
                </c:pt>
                <c:pt idx="8">
                  <c:v>M14</c:v>
                </c:pt>
                <c:pt idx="9">
                  <c:v>M13</c:v>
                </c:pt>
                <c:pt idx="10">
                  <c:v>M12</c:v>
                </c:pt>
                <c:pt idx="11">
                  <c:v>M11</c:v>
                </c:pt>
                <c:pt idx="12">
                  <c:v>M09B</c:v>
                </c:pt>
                <c:pt idx="13">
                  <c:v>M08</c:v>
                </c:pt>
                <c:pt idx="14">
                  <c:v>M06</c:v>
                </c:pt>
                <c:pt idx="15">
                  <c:v>M05</c:v>
                </c:pt>
                <c:pt idx="16">
                  <c:v>M04</c:v>
                </c:pt>
              </c:strCache>
            </c:strRef>
          </c:cat>
          <c:val>
            <c:numRef>
              <c:f>'SSP Figure'!$K$2:$K$18</c:f>
              <c:numCache>
                <c:formatCode>0</c:formatCode>
                <c:ptCount val="17"/>
                <c:pt idx="0">
                  <c:v>439.669775697945</c:v>
                </c:pt>
                <c:pt idx="1">
                  <c:v>651.19289028068704</c:v>
                </c:pt>
                <c:pt idx="2">
                  <c:v>299.78475865686198</c:v>
                </c:pt>
                <c:pt idx="3">
                  <c:v>788.24773146305495</c:v>
                </c:pt>
                <c:pt idx="4">
                  <c:v>470.55188580220403</c:v>
                </c:pt>
                <c:pt idx="5">
                  <c:v>483.99247188426398</c:v>
                </c:pt>
                <c:pt idx="6">
                  <c:v>276.11438837474401</c:v>
                </c:pt>
                <c:pt idx="7">
                  <c:v>248.24423766650801</c:v>
                </c:pt>
                <c:pt idx="8">
                  <c:v>243.175452030646</c:v>
                </c:pt>
                <c:pt idx="9">
                  <c:v>125.466688043638</c:v>
                </c:pt>
                <c:pt idx="10">
                  <c:v>185.08210991770099</c:v>
                </c:pt>
                <c:pt idx="11">
                  <c:v>126.832623085469</c:v>
                </c:pt>
                <c:pt idx="12">
                  <c:v>436.08095780620698</c:v>
                </c:pt>
                <c:pt idx="13">
                  <c:v>338.93937588352497</c:v>
                </c:pt>
                <c:pt idx="14">
                  <c:v>112.723847443701</c:v>
                </c:pt>
                <c:pt idx="15">
                  <c:v>140.475668622098</c:v>
                </c:pt>
                <c:pt idx="16">
                  <c:v>204.46256274397601</c:v>
                </c:pt>
              </c:numCache>
            </c:numRef>
          </c:val>
          <c:smooth val="0"/>
          <c:extLst>
            <c:ext xmlns:c16="http://schemas.microsoft.com/office/drawing/2014/chart" uri="{C3380CC4-5D6E-409C-BE32-E72D297353CC}">
              <c16:uniqueId val="{00000008-24F9-497B-BA9E-302847F6F7D1}"/>
            </c:ext>
          </c:extLst>
        </c:ser>
        <c:ser>
          <c:idx val="4"/>
          <c:order val="9"/>
          <c:tx>
            <c:strRef>
              <c:f>'SSP Figure'!$L$1</c:f>
              <c:strCache>
                <c:ptCount val="1"/>
                <c:pt idx="0">
                  <c:v>Q50 SSP</c:v>
                </c:pt>
              </c:strCache>
            </c:strRef>
          </c:tx>
          <c:spPr>
            <a:ln w="12700" cap="rnd">
              <a:solidFill>
                <a:schemeClr val="accent5"/>
              </a:solidFill>
              <a:prstDash val="sysDash"/>
              <a:round/>
            </a:ln>
            <a:effectLst/>
          </c:spPr>
          <c:marker>
            <c:symbol val="circle"/>
            <c:size val="5"/>
            <c:spPr>
              <a:solidFill>
                <a:schemeClr val="accent5"/>
              </a:solidFill>
              <a:ln w="9525">
                <a:solidFill>
                  <a:schemeClr val="accent5"/>
                </a:solidFill>
              </a:ln>
              <a:effectLst/>
            </c:spPr>
          </c:marker>
          <c:cat>
            <c:strRef>
              <c:f>'SSP Figure'!$E$2:$E$18</c:f>
              <c:strCache>
                <c:ptCount val="17"/>
                <c:pt idx="0">
                  <c:v>M21</c:v>
                </c:pt>
                <c:pt idx="1">
                  <c:v>M20C</c:v>
                </c:pt>
                <c:pt idx="2">
                  <c:v>M20B</c:v>
                </c:pt>
                <c:pt idx="3">
                  <c:v>M20A</c:v>
                </c:pt>
                <c:pt idx="4">
                  <c:v>M19B</c:v>
                </c:pt>
                <c:pt idx="5">
                  <c:v>M19A</c:v>
                </c:pt>
                <c:pt idx="6">
                  <c:v>M16</c:v>
                </c:pt>
                <c:pt idx="7">
                  <c:v>M15</c:v>
                </c:pt>
                <c:pt idx="8">
                  <c:v>M14</c:v>
                </c:pt>
                <c:pt idx="9">
                  <c:v>M13</c:v>
                </c:pt>
                <c:pt idx="10">
                  <c:v>M12</c:v>
                </c:pt>
                <c:pt idx="11">
                  <c:v>M11</c:v>
                </c:pt>
                <c:pt idx="12">
                  <c:v>M09B</c:v>
                </c:pt>
                <c:pt idx="13">
                  <c:v>M08</c:v>
                </c:pt>
                <c:pt idx="14">
                  <c:v>M06</c:v>
                </c:pt>
                <c:pt idx="15">
                  <c:v>M05</c:v>
                </c:pt>
                <c:pt idx="16">
                  <c:v>M04</c:v>
                </c:pt>
              </c:strCache>
            </c:strRef>
          </c:cat>
          <c:val>
            <c:numRef>
              <c:f>'SSP Figure'!$L$2:$L$18</c:f>
              <c:numCache>
                <c:formatCode>0</c:formatCode>
                <c:ptCount val="17"/>
                <c:pt idx="0">
                  <c:v>516.67848212160197</c:v>
                </c:pt>
                <c:pt idx="1">
                  <c:v>766.52895286565695</c:v>
                </c:pt>
                <c:pt idx="2">
                  <c:v>349.943254373466</c:v>
                </c:pt>
                <c:pt idx="3">
                  <c:v>931.28795282121405</c:v>
                </c:pt>
                <c:pt idx="4">
                  <c:v>577.87361741458699</c:v>
                </c:pt>
                <c:pt idx="5">
                  <c:v>550.601101656938</c:v>
                </c:pt>
                <c:pt idx="6">
                  <c:v>314.019141696227</c:v>
                </c:pt>
                <c:pt idx="7">
                  <c:v>274.155806193378</c:v>
                </c:pt>
                <c:pt idx="8">
                  <c:v>290.08587636315201</c:v>
                </c:pt>
                <c:pt idx="9">
                  <c:v>146.950474865388</c:v>
                </c:pt>
                <c:pt idx="10">
                  <c:v>209.984393227064</c:v>
                </c:pt>
                <c:pt idx="11">
                  <c:v>140.314737684775</c:v>
                </c:pt>
                <c:pt idx="12">
                  <c:v>493.275407151286</c:v>
                </c:pt>
                <c:pt idx="13">
                  <c:v>383.71481718091201</c:v>
                </c:pt>
                <c:pt idx="14">
                  <c:v>127.61254751385999</c:v>
                </c:pt>
                <c:pt idx="15">
                  <c:v>162.14671255845599</c:v>
                </c:pt>
                <c:pt idx="16">
                  <c:v>235.685654358802</c:v>
                </c:pt>
              </c:numCache>
            </c:numRef>
          </c:val>
          <c:smooth val="0"/>
          <c:extLst>
            <c:ext xmlns:c16="http://schemas.microsoft.com/office/drawing/2014/chart" uri="{C3380CC4-5D6E-409C-BE32-E72D297353CC}">
              <c16:uniqueId val="{00000009-24F9-497B-BA9E-302847F6F7D1}"/>
            </c:ext>
          </c:extLst>
        </c:ser>
        <c:dLbls>
          <c:showLegendKey val="0"/>
          <c:showVal val="0"/>
          <c:showCatName val="0"/>
          <c:showSerName val="0"/>
          <c:showPercent val="0"/>
          <c:showBubbleSize val="0"/>
        </c:dLbls>
        <c:marker val="1"/>
        <c:smooth val="0"/>
        <c:axId val="709674432"/>
        <c:axId val="709676512"/>
      </c:lineChart>
      <c:catAx>
        <c:axId val="709674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Alluvial Reaches (upstream at left to downstream)</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676512"/>
        <c:crosses val="autoZero"/>
        <c:auto val="1"/>
        <c:lblAlgn val="ctr"/>
        <c:lblOffset val="100"/>
        <c:noMultiLvlLbl val="0"/>
      </c:catAx>
      <c:valAx>
        <c:axId val="709676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SSP (watts*m</a:t>
                </a:r>
                <a:r>
                  <a:rPr lang="en-US" baseline="30000"/>
                  <a:t>-2</a:t>
                </a:r>
                <a:r>
                  <a:rPr lang="en-US" baseline="0"/>
                  <a:t>)</a:t>
                </a:r>
                <a:endParaRPr lang="en-US"/>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674432"/>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'SSP Figure'!$I$1</c:f>
              <c:strCache>
                <c:ptCount val="1"/>
                <c:pt idx="0">
                  <c:v>Q2 SSP</c:v>
                </c:pt>
              </c:strCache>
            </c:strRef>
          </c:tx>
          <c:spPr>
            <a:solidFill>
              <a:schemeClr val="accent1"/>
            </a:solidFill>
            <a:ln>
              <a:noFill/>
            </a:ln>
            <a:effectLst/>
          </c:spPr>
          <c:invertIfNegative val="0"/>
          <c:cat>
            <c:numRef>
              <c:f>'SSP Figure'!$H$2:$H$18</c:f>
              <c:numCache>
                <c:formatCode>0.0</c:formatCode>
                <c:ptCount val="17"/>
                <c:pt idx="0">
                  <c:v>29.247971999999997</c:v>
                </c:pt>
                <c:pt idx="1">
                  <c:v>28.473779999999998</c:v>
                </c:pt>
                <c:pt idx="2">
                  <c:v>27.391039999999997</c:v>
                </c:pt>
                <c:pt idx="3">
                  <c:v>26.688403999999998</c:v>
                </c:pt>
                <c:pt idx="4">
                  <c:v>25.562234</c:v>
                </c:pt>
                <c:pt idx="5">
                  <c:v>25.100159000000001</c:v>
                </c:pt>
                <c:pt idx="6">
                  <c:v>24.461838</c:v>
                </c:pt>
                <c:pt idx="7">
                  <c:v>21.998508000000001</c:v>
                </c:pt>
                <c:pt idx="8">
                  <c:v>19.368278</c:v>
                </c:pt>
                <c:pt idx="9">
                  <c:v>18.655584000000001</c:v>
                </c:pt>
                <c:pt idx="10">
                  <c:v>16.811584</c:v>
                </c:pt>
                <c:pt idx="11">
                  <c:v>14.637433999999999</c:v>
                </c:pt>
                <c:pt idx="12">
                  <c:v>7.5169439999999996</c:v>
                </c:pt>
                <c:pt idx="13">
                  <c:v>6.9714689999999999</c:v>
                </c:pt>
                <c:pt idx="14">
                  <c:v>6.5166050000000002</c:v>
                </c:pt>
                <c:pt idx="15">
                  <c:v>5.7233300000000007</c:v>
                </c:pt>
                <c:pt idx="16">
                  <c:v>2.7600700000000002</c:v>
                </c:pt>
              </c:numCache>
            </c:numRef>
          </c:cat>
          <c:val>
            <c:numRef>
              <c:f>'SSP Figure'!$I$2:$I$18</c:f>
              <c:numCache>
                <c:formatCode>0</c:formatCode>
                <c:ptCount val="17"/>
                <c:pt idx="0">
                  <c:v>190.553570939145</c:v>
                </c:pt>
                <c:pt idx="1">
                  <c:v>261.24218494817598</c:v>
                </c:pt>
                <c:pt idx="2">
                  <c:v>132.64710350681199</c:v>
                </c:pt>
                <c:pt idx="3">
                  <c:v>366.890799174032</c:v>
                </c:pt>
                <c:pt idx="4">
                  <c:v>190.88595504555801</c:v>
                </c:pt>
                <c:pt idx="5">
                  <c:v>195.80510215713699</c:v>
                </c:pt>
                <c:pt idx="6">
                  <c:v>111.77243460577201</c:v>
                </c:pt>
                <c:pt idx="7">
                  <c:v>122.358003507837</c:v>
                </c:pt>
                <c:pt idx="8">
                  <c:v>106.016581491235</c:v>
                </c:pt>
                <c:pt idx="9">
                  <c:v>58.836539822529403</c:v>
                </c:pt>
                <c:pt idx="10">
                  <c:v>90.301348392828999</c:v>
                </c:pt>
                <c:pt idx="11">
                  <c:v>73.247701448761603</c:v>
                </c:pt>
                <c:pt idx="12">
                  <c:v>182.48945071845199</c:v>
                </c:pt>
                <c:pt idx="13">
                  <c:v>162.542861849644</c:v>
                </c:pt>
                <c:pt idx="14">
                  <c:v>57.730233318255102</c:v>
                </c:pt>
                <c:pt idx="15">
                  <c:v>72.238309444652501</c:v>
                </c:pt>
                <c:pt idx="16">
                  <c:v>93.449662852611198</c:v>
                </c:pt>
              </c:numCache>
            </c:numRef>
          </c:val>
          <c:extLst>
            <c:ext xmlns:c16="http://schemas.microsoft.com/office/drawing/2014/chart" uri="{C3380CC4-5D6E-409C-BE32-E72D297353CC}">
              <c16:uniqueId val="{00000000-DF24-4910-B9E2-98D036CE1F96}"/>
            </c:ext>
          </c:extLst>
        </c:ser>
        <c:ser>
          <c:idx val="1"/>
          <c:order val="1"/>
          <c:tx>
            <c:strRef>
              <c:f>'SSP Figure'!$J$1</c:f>
              <c:strCache>
                <c:ptCount val="1"/>
                <c:pt idx="0">
                  <c:v>Q5 SSP</c:v>
                </c:pt>
              </c:strCache>
            </c:strRef>
          </c:tx>
          <c:spPr>
            <a:solidFill>
              <a:schemeClr val="accent2"/>
            </a:solidFill>
            <a:ln>
              <a:noFill/>
            </a:ln>
            <a:effectLst/>
          </c:spPr>
          <c:invertIfNegative val="0"/>
          <c:cat>
            <c:numRef>
              <c:f>'SSP Figure'!$H$2:$H$18</c:f>
              <c:numCache>
                <c:formatCode>0.0</c:formatCode>
                <c:ptCount val="17"/>
                <c:pt idx="0">
                  <c:v>29.247971999999997</c:v>
                </c:pt>
                <c:pt idx="1">
                  <c:v>28.473779999999998</c:v>
                </c:pt>
                <c:pt idx="2">
                  <c:v>27.391039999999997</c:v>
                </c:pt>
                <c:pt idx="3">
                  <c:v>26.688403999999998</c:v>
                </c:pt>
                <c:pt idx="4">
                  <c:v>25.562234</c:v>
                </c:pt>
                <c:pt idx="5">
                  <c:v>25.100159000000001</c:v>
                </c:pt>
                <c:pt idx="6">
                  <c:v>24.461838</c:v>
                </c:pt>
                <c:pt idx="7">
                  <c:v>21.998508000000001</c:v>
                </c:pt>
                <c:pt idx="8">
                  <c:v>19.368278</c:v>
                </c:pt>
                <c:pt idx="9">
                  <c:v>18.655584000000001</c:v>
                </c:pt>
                <c:pt idx="10">
                  <c:v>16.811584</c:v>
                </c:pt>
                <c:pt idx="11">
                  <c:v>14.637433999999999</c:v>
                </c:pt>
                <c:pt idx="12">
                  <c:v>7.5169439999999996</c:v>
                </c:pt>
                <c:pt idx="13">
                  <c:v>6.9714689999999999</c:v>
                </c:pt>
                <c:pt idx="14">
                  <c:v>6.5166050000000002</c:v>
                </c:pt>
                <c:pt idx="15">
                  <c:v>5.7233300000000007</c:v>
                </c:pt>
                <c:pt idx="16">
                  <c:v>2.7600700000000002</c:v>
                </c:pt>
              </c:numCache>
            </c:numRef>
          </c:cat>
          <c:val>
            <c:numRef>
              <c:f>'SSP Figure'!$J$2:$J$18</c:f>
              <c:numCache>
                <c:formatCode>0</c:formatCode>
                <c:ptCount val="17"/>
                <c:pt idx="0">
                  <c:v>275.83832883877199</c:v>
                </c:pt>
                <c:pt idx="1">
                  <c:v>399.11865450902798</c:v>
                </c:pt>
                <c:pt idx="2">
                  <c:v>200.119378491334</c:v>
                </c:pt>
                <c:pt idx="3">
                  <c:v>532.34224190334396</c:v>
                </c:pt>
                <c:pt idx="4">
                  <c:v>303.646583168061</c:v>
                </c:pt>
                <c:pt idx="5">
                  <c:v>309.36498233083699</c:v>
                </c:pt>
                <c:pt idx="6">
                  <c:v>173.25797331627999</c:v>
                </c:pt>
                <c:pt idx="7">
                  <c:v>181.29759240578599</c:v>
                </c:pt>
                <c:pt idx="8">
                  <c:v>151.04189395624601</c:v>
                </c:pt>
                <c:pt idx="9">
                  <c:v>82.741706402216593</c:v>
                </c:pt>
                <c:pt idx="10">
                  <c:v>130.42367188456899</c:v>
                </c:pt>
                <c:pt idx="11">
                  <c:v>97.237446637520193</c:v>
                </c:pt>
                <c:pt idx="12">
                  <c:v>283.050515862346</c:v>
                </c:pt>
                <c:pt idx="13">
                  <c:v>228.075557710656</c:v>
                </c:pt>
                <c:pt idx="14">
                  <c:v>81.896132605717497</c:v>
                </c:pt>
                <c:pt idx="15">
                  <c:v>96.1549612954324</c:v>
                </c:pt>
                <c:pt idx="16">
                  <c:v>130.95075542190901</c:v>
                </c:pt>
              </c:numCache>
            </c:numRef>
          </c:val>
          <c:extLst>
            <c:ext xmlns:c16="http://schemas.microsoft.com/office/drawing/2014/chart" uri="{C3380CC4-5D6E-409C-BE32-E72D297353CC}">
              <c16:uniqueId val="{00000001-DF24-4910-B9E2-98D036CE1F96}"/>
            </c:ext>
          </c:extLst>
        </c:ser>
        <c:dLbls>
          <c:showLegendKey val="0"/>
          <c:showVal val="0"/>
          <c:showCatName val="0"/>
          <c:showSerName val="0"/>
          <c:showPercent val="0"/>
          <c:showBubbleSize val="0"/>
        </c:dLbls>
        <c:gapWidth val="150"/>
        <c:axId val="655574415"/>
        <c:axId val="655577327"/>
      </c:barChart>
      <c:lineChart>
        <c:grouping val="standard"/>
        <c:varyColors val="0"/>
        <c:ser>
          <c:idx val="2"/>
          <c:order val="2"/>
          <c:tx>
            <c:strRef>
              <c:f>'SSP Figure'!$K$1</c:f>
              <c:strCache>
                <c:ptCount val="1"/>
                <c:pt idx="0">
                  <c:v>Q25 SSP</c:v>
                </c:pt>
              </c:strCache>
            </c:strRef>
          </c:tx>
          <c:spPr>
            <a:ln w="19050" cap="rnd">
              <a:solidFill>
                <a:schemeClr val="accent3"/>
              </a:solidFill>
              <a:round/>
            </a:ln>
            <a:effectLst/>
          </c:spPr>
          <c:marker>
            <c:symbol val="none"/>
          </c:marker>
          <c:cat>
            <c:numRef>
              <c:f>'SSP Figure'!$H$2:$H$18</c:f>
              <c:numCache>
                <c:formatCode>0.0</c:formatCode>
                <c:ptCount val="17"/>
                <c:pt idx="0">
                  <c:v>29.247971999999997</c:v>
                </c:pt>
                <c:pt idx="1">
                  <c:v>28.473779999999998</c:v>
                </c:pt>
                <c:pt idx="2">
                  <c:v>27.391039999999997</c:v>
                </c:pt>
                <c:pt idx="3">
                  <c:v>26.688403999999998</c:v>
                </c:pt>
                <c:pt idx="4">
                  <c:v>25.562234</c:v>
                </c:pt>
                <c:pt idx="5">
                  <c:v>25.100159000000001</c:v>
                </c:pt>
                <c:pt idx="6">
                  <c:v>24.461838</c:v>
                </c:pt>
                <c:pt idx="7">
                  <c:v>21.998508000000001</c:v>
                </c:pt>
                <c:pt idx="8">
                  <c:v>19.368278</c:v>
                </c:pt>
                <c:pt idx="9">
                  <c:v>18.655584000000001</c:v>
                </c:pt>
                <c:pt idx="10">
                  <c:v>16.811584</c:v>
                </c:pt>
                <c:pt idx="11">
                  <c:v>14.637433999999999</c:v>
                </c:pt>
                <c:pt idx="12">
                  <c:v>7.5169439999999996</c:v>
                </c:pt>
                <c:pt idx="13">
                  <c:v>6.9714689999999999</c:v>
                </c:pt>
                <c:pt idx="14">
                  <c:v>6.5166050000000002</c:v>
                </c:pt>
                <c:pt idx="15">
                  <c:v>5.7233300000000007</c:v>
                </c:pt>
                <c:pt idx="16">
                  <c:v>2.7600700000000002</c:v>
                </c:pt>
              </c:numCache>
            </c:numRef>
          </c:cat>
          <c:val>
            <c:numRef>
              <c:f>'SSP Figure'!$K$2:$K$18</c:f>
              <c:numCache>
                <c:formatCode>0</c:formatCode>
                <c:ptCount val="17"/>
                <c:pt idx="0">
                  <c:v>439.669775697945</c:v>
                </c:pt>
                <c:pt idx="1">
                  <c:v>651.19289028068704</c:v>
                </c:pt>
                <c:pt idx="2">
                  <c:v>299.78475865686198</c:v>
                </c:pt>
                <c:pt idx="3">
                  <c:v>788.24773146305495</c:v>
                </c:pt>
                <c:pt idx="4">
                  <c:v>470.55188580220403</c:v>
                </c:pt>
                <c:pt idx="5">
                  <c:v>483.99247188426398</c:v>
                </c:pt>
                <c:pt idx="6">
                  <c:v>276.11438837474401</c:v>
                </c:pt>
                <c:pt idx="7">
                  <c:v>248.24423766650801</c:v>
                </c:pt>
                <c:pt idx="8">
                  <c:v>243.175452030646</c:v>
                </c:pt>
                <c:pt idx="9">
                  <c:v>125.466688043638</c:v>
                </c:pt>
                <c:pt idx="10">
                  <c:v>185.08210991770099</c:v>
                </c:pt>
                <c:pt idx="11">
                  <c:v>126.832623085469</c:v>
                </c:pt>
                <c:pt idx="12">
                  <c:v>436.08095780620698</c:v>
                </c:pt>
                <c:pt idx="13">
                  <c:v>338.93937588352497</c:v>
                </c:pt>
                <c:pt idx="14">
                  <c:v>112.723847443701</c:v>
                </c:pt>
                <c:pt idx="15">
                  <c:v>140.475668622098</c:v>
                </c:pt>
                <c:pt idx="16">
                  <c:v>204.46256274397601</c:v>
                </c:pt>
              </c:numCache>
            </c:numRef>
          </c:val>
          <c:smooth val="0"/>
          <c:extLst>
            <c:ext xmlns:c16="http://schemas.microsoft.com/office/drawing/2014/chart" uri="{C3380CC4-5D6E-409C-BE32-E72D297353CC}">
              <c16:uniqueId val="{00000002-DF24-4910-B9E2-98D036CE1F96}"/>
            </c:ext>
          </c:extLst>
        </c:ser>
        <c:ser>
          <c:idx val="3"/>
          <c:order val="3"/>
          <c:tx>
            <c:strRef>
              <c:f>'SSP Figure'!$L$1</c:f>
              <c:strCache>
                <c:ptCount val="1"/>
                <c:pt idx="0">
                  <c:v>Q50 SSP</c:v>
                </c:pt>
              </c:strCache>
            </c:strRef>
          </c:tx>
          <c:spPr>
            <a:ln w="19050" cap="rnd">
              <a:solidFill>
                <a:schemeClr val="accent4"/>
              </a:solidFill>
              <a:round/>
            </a:ln>
            <a:effectLst/>
          </c:spPr>
          <c:marker>
            <c:symbol val="none"/>
          </c:marker>
          <c:cat>
            <c:numRef>
              <c:f>'SSP Figure'!$H$2:$H$18</c:f>
              <c:numCache>
                <c:formatCode>0.0</c:formatCode>
                <c:ptCount val="17"/>
                <c:pt idx="0">
                  <c:v>29.247971999999997</c:v>
                </c:pt>
                <c:pt idx="1">
                  <c:v>28.473779999999998</c:v>
                </c:pt>
                <c:pt idx="2">
                  <c:v>27.391039999999997</c:v>
                </c:pt>
                <c:pt idx="3">
                  <c:v>26.688403999999998</c:v>
                </c:pt>
                <c:pt idx="4">
                  <c:v>25.562234</c:v>
                </c:pt>
                <c:pt idx="5">
                  <c:v>25.100159000000001</c:v>
                </c:pt>
                <c:pt idx="6">
                  <c:v>24.461838</c:v>
                </c:pt>
                <c:pt idx="7">
                  <c:v>21.998508000000001</c:v>
                </c:pt>
                <c:pt idx="8">
                  <c:v>19.368278</c:v>
                </c:pt>
                <c:pt idx="9">
                  <c:v>18.655584000000001</c:v>
                </c:pt>
                <c:pt idx="10">
                  <c:v>16.811584</c:v>
                </c:pt>
                <c:pt idx="11">
                  <c:v>14.637433999999999</c:v>
                </c:pt>
                <c:pt idx="12">
                  <c:v>7.5169439999999996</c:v>
                </c:pt>
                <c:pt idx="13">
                  <c:v>6.9714689999999999</c:v>
                </c:pt>
                <c:pt idx="14">
                  <c:v>6.5166050000000002</c:v>
                </c:pt>
                <c:pt idx="15">
                  <c:v>5.7233300000000007</c:v>
                </c:pt>
                <c:pt idx="16">
                  <c:v>2.7600700000000002</c:v>
                </c:pt>
              </c:numCache>
            </c:numRef>
          </c:cat>
          <c:val>
            <c:numRef>
              <c:f>'SSP Figure'!$L$2:$L$18</c:f>
              <c:numCache>
                <c:formatCode>0</c:formatCode>
                <c:ptCount val="17"/>
                <c:pt idx="0">
                  <c:v>516.67848212160197</c:v>
                </c:pt>
                <c:pt idx="1">
                  <c:v>766.52895286565695</c:v>
                </c:pt>
                <c:pt idx="2">
                  <c:v>349.943254373466</c:v>
                </c:pt>
                <c:pt idx="3">
                  <c:v>931.28795282121405</c:v>
                </c:pt>
                <c:pt idx="4">
                  <c:v>577.87361741458699</c:v>
                </c:pt>
                <c:pt idx="5">
                  <c:v>550.601101656938</c:v>
                </c:pt>
                <c:pt idx="6">
                  <c:v>314.019141696227</c:v>
                </c:pt>
                <c:pt idx="7">
                  <c:v>274.155806193378</c:v>
                </c:pt>
                <c:pt idx="8">
                  <c:v>290.08587636315201</c:v>
                </c:pt>
                <c:pt idx="9">
                  <c:v>146.950474865388</c:v>
                </c:pt>
                <c:pt idx="10">
                  <c:v>209.984393227064</c:v>
                </c:pt>
                <c:pt idx="11">
                  <c:v>140.314737684775</c:v>
                </c:pt>
                <c:pt idx="12">
                  <c:v>493.275407151286</c:v>
                </c:pt>
                <c:pt idx="13">
                  <c:v>383.71481718091201</c:v>
                </c:pt>
                <c:pt idx="14">
                  <c:v>127.61254751385999</c:v>
                </c:pt>
                <c:pt idx="15">
                  <c:v>162.14671255845599</c:v>
                </c:pt>
                <c:pt idx="16">
                  <c:v>235.685654358802</c:v>
                </c:pt>
              </c:numCache>
            </c:numRef>
          </c:val>
          <c:smooth val="0"/>
          <c:extLst>
            <c:ext xmlns:c16="http://schemas.microsoft.com/office/drawing/2014/chart" uri="{C3380CC4-5D6E-409C-BE32-E72D297353CC}">
              <c16:uniqueId val="{00000003-DF24-4910-B9E2-98D036CE1F96}"/>
            </c:ext>
          </c:extLst>
        </c:ser>
        <c:dLbls>
          <c:showLegendKey val="0"/>
          <c:showVal val="0"/>
          <c:showCatName val="0"/>
          <c:showSerName val="0"/>
          <c:showPercent val="0"/>
          <c:showBubbleSize val="0"/>
        </c:dLbls>
        <c:marker val="1"/>
        <c:smooth val="0"/>
        <c:axId val="655574415"/>
        <c:axId val="655577327"/>
      </c:lineChart>
      <c:catAx>
        <c:axId val="65557441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from mouth (km)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577327"/>
        <c:crosses val="autoZero"/>
        <c:auto val="1"/>
        <c:lblAlgn val="ctr"/>
        <c:lblOffset val="100"/>
        <c:noMultiLvlLbl val="0"/>
      </c:catAx>
      <c:valAx>
        <c:axId val="6555773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SSP</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5744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SSP vs. slope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'additional plots'!$AB$2</c:f>
              <c:strCache>
                <c:ptCount val="1"/>
                <c:pt idx="0">
                  <c:v>Q2</c:v>
                </c:pt>
              </c:strCache>
            </c:strRef>
          </c:tx>
          <c:spPr>
            <a:ln w="19050" cap="rnd">
              <a:noFill/>
              <a:round/>
            </a:ln>
            <a:effectLst/>
          </c:spPr>
          <c:marker>
            <c:symbol val="circle"/>
            <c:size val="5"/>
            <c:spPr>
              <a:solidFill>
                <a:schemeClr val="accent1"/>
              </a:solidFill>
              <a:ln w="9525">
                <a:solidFill>
                  <a:schemeClr val="accent1"/>
                </a:solidFill>
              </a:ln>
              <a:effectLst/>
            </c:spPr>
          </c:marker>
          <c:xVal>
            <c:numRef>
              <c:f>'additional plots'!$E$3:$E$26</c:f>
              <c:numCache>
                <c:formatCode>0.000</c:formatCode>
                <c:ptCount val="24"/>
                <c:pt idx="0">
                  <c:v>6.2896734105948003E-3</c:v>
                </c:pt>
                <c:pt idx="1">
                  <c:v>1.9717939965368601E-2</c:v>
                </c:pt>
                <c:pt idx="2">
                  <c:v>2.4154879744189999E-3</c:v>
                </c:pt>
                <c:pt idx="3">
                  <c:v>1.7886953094548E-3</c:v>
                </c:pt>
                <c:pt idx="4">
                  <c:v>1.5332363633946001E-3</c:v>
                </c:pt>
                <c:pt idx="5">
                  <c:v>1.7566224084452901E-2</c:v>
                </c:pt>
                <c:pt idx="6">
                  <c:v>3.5801112972605998E-3</c:v>
                </c:pt>
                <c:pt idx="7">
                  <c:v>1.32066748562444E-2</c:v>
                </c:pt>
                <c:pt idx="8">
                  <c:v>5.0026505353704996E-3</c:v>
                </c:pt>
                <c:pt idx="9">
                  <c:v>1.8162245521840001E-3</c:v>
                </c:pt>
                <c:pt idx="10">
                  <c:v>2.5397428065815002E-3</c:v>
                </c:pt>
                <c:pt idx="11">
                  <c:v>3.2202596484366E-3</c:v>
                </c:pt>
                <c:pt idx="12">
                  <c:v>3.2846115674992999E-3</c:v>
                </c:pt>
                <c:pt idx="13">
                  <c:v>3.8802226158114001E-3</c:v>
                </c:pt>
                <c:pt idx="14">
                  <c:v>5.1159406074247999E-3</c:v>
                </c:pt>
                <c:pt idx="15">
                  <c:v>5.4570025417987004E-3</c:v>
                </c:pt>
                <c:pt idx="16">
                  <c:v>6.3506202510991002E-3</c:v>
                </c:pt>
                <c:pt idx="17">
                  <c:v>1.67200172246228E-2</c:v>
                </c:pt>
                <c:pt idx="18">
                  <c:v>9.7990091663568996E-3</c:v>
                </c:pt>
                <c:pt idx="19">
                  <c:v>1.00168588195909E-2</c:v>
                </c:pt>
                <c:pt idx="20">
                  <c:v>1.7536097311226798E-2</c:v>
                </c:pt>
                <c:pt idx="21">
                  <c:v>1.0608506334761099E-2</c:v>
                </c:pt>
                <c:pt idx="22">
                  <c:v>1.5566913048002E-2</c:v>
                </c:pt>
                <c:pt idx="23">
                  <c:v>1.53101121021577E-2</c:v>
                </c:pt>
              </c:numCache>
            </c:numRef>
          </c:xVal>
          <c:yVal>
            <c:numRef>
              <c:f>'additional plots'!$AB$3:$AB$26</c:f>
              <c:numCache>
                <c:formatCode>0</c:formatCode>
                <c:ptCount val="24"/>
                <c:pt idx="0">
                  <c:v>258.92696287516702</c:v>
                </c:pt>
                <c:pt idx="1">
                  <c:v>1033.2007403963701</c:v>
                </c:pt>
                <c:pt idx="2">
                  <c:v>93.449662852611198</c:v>
                </c:pt>
                <c:pt idx="3">
                  <c:v>72.238309444652501</c:v>
                </c:pt>
                <c:pt idx="4">
                  <c:v>57.730233318255102</c:v>
                </c:pt>
                <c:pt idx="5">
                  <c:v>1297.05269822949</c:v>
                </c:pt>
                <c:pt idx="6">
                  <c:v>162.542861849644</c:v>
                </c:pt>
                <c:pt idx="7">
                  <c:v>743.112195824786</c:v>
                </c:pt>
                <c:pt idx="8">
                  <c:v>182.48945071845199</c:v>
                </c:pt>
                <c:pt idx="9">
                  <c:v>46.410348257260601</c:v>
                </c:pt>
                <c:pt idx="10">
                  <c:v>73.247701448761603</c:v>
                </c:pt>
                <c:pt idx="11">
                  <c:v>90.301348392828999</c:v>
                </c:pt>
                <c:pt idx="12">
                  <c:v>58.836539822529403</c:v>
                </c:pt>
                <c:pt idx="13">
                  <c:v>106.016581491235</c:v>
                </c:pt>
                <c:pt idx="14">
                  <c:v>122.358003507837</c:v>
                </c:pt>
                <c:pt idx="15">
                  <c:v>111.77243460577201</c:v>
                </c:pt>
                <c:pt idx="16">
                  <c:v>156.020772497541</c:v>
                </c:pt>
                <c:pt idx="17">
                  <c:v>490.356167819988</c:v>
                </c:pt>
                <c:pt idx="18">
                  <c:v>195.80510215713699</c:v>
                </c:pt>
                <c:pt idx="19">
                  <c:v>190.88595504555801</c:v>
                </c:pt>
                <c:pt idx="20">
                  <c:v>366.890799174032</c:v>
                </c:pt>
                <c:pt idx="21">
                  <c:v>132.64710350681199</c:v>
                </c:pt>
                <c:pt idx="22">
                  <c:v>261.24218494817598</c:v>
                </c:pt>
                <c:pt idx="23">
                  <c:v>190.553570939145</c:v>
                </c:pt>
              </c:numCache>
            </c:numRef>
          </c:yVal>
          <c:smooth val="0"/>
          <c:extLst>
            <c:ext xmlns:c16="http://schemas.microsoft.com/office/drawing/2014/chart" uri="{C3380CC4-5D6E-409C-BE32-E72D297353CC}">
              <c16:uniqueId val="{00000000-627C-4FD4-8634-A8768E7C054D}"/>
            </c:ext>
          </c:extLst>
        </c:ser>
        <c:ser>
          <c:idx val="1"/>
          <c:order val="1"/>
          <c:tx>
            <c:strRef>
              <c:f>'additional plots'!$AC$2</c:f>
              <c:strCache>
                <c:ptCount val="1"/>
                <c:pt idx="0">
                  <c:v>Q5</c:v>
                </c:pt>
              </c:strCache>
            </c:strRef>
          </c:tx>
          <c:spPr>
            <a:ln w="19050" cap="rnd">
              <a:noFill/>
              <a:round/>
            </a:ln>
            <a:effectLst/>
          </c:spPr>
          <c:marker>
            <c:symbol val="circle"/>
            <c:size val="5"/>
            <c:spPr>
              <a:solidFill>
                <a:schemeClr val="accent2"/>
              </a:solidFill>
              <a:ln w="9525">
                <a:solidFill>
                  <a:schemeClr val="accent2"/>
                </a:solidFill>
              </a:ln>
              <a:effectLst/>
            </c:spPr>
          </c:marker>
          <c:xVal>
            <c:numRef>
              <c:f>'additional plots'!$E$3:$E$26</c:f>
              <c:numCache>
                <c:formatCode>0.000</c:formatCode>
                <c:ptCount val="24"/>
                <c:pt idx="0">
                  <c:v>6.2896734105948003E-3</c:v>
                </c:pt>
                <c:pt idx="1">
                  <c:v>1.9717939965368601E-2</c:v>
                </c:pt>
                <c:pt idx="2">
                  <c:v>2.4154879744189999E-3</c:v>
                </c:pt>
                <c:pt idx="3">
                  <c:v>1.7886953094548E-3</c:v>
                </c:pt>
                <c:pt idx="4">
                  <c:v>1.5332363633946001E-3</c:v>
                </c:pt>
                <c:pt idx="5">
                  <c:v>1.7566224084452901E-2</c:v>
                </c:pt>
                <c:pt idx="6">
                  <c:v>3.5801112972605998E-3</c:v>
                </c:pt>
                <c:pt idx="7">
                  <c:v>1.32066748562444E-2</c:v>
                </c:pt>
                <c:pt idx="8">
                  <c:v>5.0026505353704996E-3</c:v>
                </c:pt>
                <c:pt idx="9">
                  <c:v>1.8162245521840001E-3</c:v>
                </c:pt>
                <c:pt idx="10">
                  <c:v>2.5397428065815002E-3</c:v>
                </c:pt>
                <c:pt idx="11">
                  <c:v>3.2202596484366E-3</c:v>
                </c:pt>
                <c:pt idx="12">
                  <c:v>3.2846115674992999E-3</c:v>
                </c:pt>
                <c:pt idx="13">
                  <c:v>3.8802226158114001E-3</c:v>
                </c:pt>
                <c:pt idx="14">
                  <c:v>5.1159406074247999E-3</c:v>
                </c:pt>
                <c:pt idx="15">
                  <c:v>5.4570025417987004E-3</c:v>
                </c:pt>
                <c:pt idx="16">
                  <c:v>6.3506202510991002E-3</c:v>
                </c:pt>
                <c:pt idx="17">
                  <c:v>1.67200172246228E-2</c:v>
                </c:pt>
                <c:pt idx="18">
                  <c:v>9.7990091663568996E-3</c:v>
                </c:pt>
                <c:pt idx="19">
                  <c:v>1.00168588195909E-2</c:v>
                </c:pt>
                <c:pt idx="20">
                  <c:v>1.7536097311226798E-2</c:v>
                </c:pt>
                <c:pt idx="21">
                  <c:v>1.0608506334761099E-2</c:v>
                </c:pt>
                <c:pt idx="22">
                  <c:v>1.5566913048002E-2</c:v>
                </c:pt>
                <c:pt idx="23">
                  <c:v>1.53101121021577E-2</c:v>
                </c:pt>
              </c:numCache>
            </c:numRef>
          </c:xVal>
          <c:yVal>
            <c:numRef>
              <c:f>'additional plots'!$AC$3:$AC$26</c:f>
              <c:numCache>
                <c:formatCode>0</c:formatCode>
                <c:ptCount val="24"/>
                <c:pt idx="0">
                  <c:v>377.304980823253</c:v>
                </c:pt>
                <c:pt idx="1">
                  <c:v>1524.12326310039</c:v>
                </c:pt>
                <c:pt idx="2">
                  <c:v>130.95075542190901</c:v>
                </c:pt>
                <c:pt idx="3">
                  <c:v>96.1549612954324</c:v>
                </c:pt>
                <c:pt idx="4">
                  <c:v>81.896132605717497</c:v>
                </c:pt>
                <c:pt idx="5">
                  <c:v>1798.1535897070601</c:v>
                </c:pt>
                <c:pt idx="6">
                  <c:v>228.075557710656</c:v>
                </c:pt>
                <c:pt idx="7">
                  <c:v>1122.1144537897101</c:v>
                </c:pt>
                <c:pt idx="8">
                  <c:v>283.050515862346</c:v>
                </c:pt>
                <c:pt idx="9">
                  <c:v>60.039617402117798</c:v>
                </c:pt>
                <c:pt idx="10">
                  <c:v>97.237446637520193</c:v>
                </c:pt>
                <c:pt idx="11">
                  <c:v>130.42367188456899</c:v>
                </c:pt>
                <c:pt idx="12">
                  <c:v>82.741706402216593</c:v>
                </c:pt>
                <c:pt idx="13">
                  <c:v>151.04189395624601</c:v>
                </c:pt>
                <c:pt idx="14">
                  <c:v>181.29759240578599</c:v>
                </c:pt>
                <c:pt idx="15">
                  <c:v>173.25797331627999</c:v>
                </c:pt>
                <c:pt idx="16">
                  <c:v>223.45548405619201</c:v>
                </c:pt>
                <c:pt idx="17">
                  <c:v>678.32693604910696</c:v>
                </c:pt>
                <c:pt idx="18">
                  <c:v>309.36498233083699</c:v>
                </c:pt>
                <c:pt idx="19">
                  <c:v>303.646583168061</c:v>
                </c:pt>
                <c:pt idx="20">
                  <c:v>532.34224190334396</c:v>
                </c:pt>
                <c:pt idx="21">
                  <c:v>200.119378491334</c:v>
                </c:pt>
                <c:pt idx="22">
                  <c:v>399.11865450902798</c:v>
                </c:pt>
                <c:pt idx="23">
                  <c:v>275.83832883877199</c:v>
                </c:pt>
              </c:numCache>
            </c:numRef>
          </c:yVal>
          <c:smooth val="0"/>
          <c:extLst>
            <c:ext xmlns:c16="http://schemas.microsoft.com/office/drawing/2014/chart" uri="{C3380CC4-5D6E-409C-BE32-E72D297353CC}">
              <c16:uniqueId val="{00000001-627C-4FD4-8634-A8768E7C054D}"/>
            </c:ext>
          </c:extLst>
        </c:ser>
        <c:ser>
          <c:idx val="2"/>
          <c:order val="2"/>
          <c:tx>
            <c:strRef>
              <c:f>'additional plots'!$AD$2</c:f>
              <c:strCache>
                <c:ptCount val="1"/>
                <c:pt idx="0">
                  <c:v>Q25</c:v>
                </c:pt>
              </c:strCache>
            </c:strRef>
          </c:tx>
          <c:spPr>
            <a:ln w="19050" cap="rnd">
              <a:noFill/>
              <a:round/>
            </a:ln>
            <a:effectLst/>
          </c:spPr>
          <c:marker>
            <c:symbol val="circle"/>
            <c:size val="5"/>
            <c:spPr>
              <a:solidFill>
                <a:schemeClr val="accent3"/>
              </a:solidFill>
              <a:ln w="9525">
                <a:solidFill>
                  <a:schemeClr val="accent3"/>
                </a:solidFill>
              </a:ln>
              <a:effectLst/>
            </c:spPr>
          </c:marker>
          <c:xVal>
            <c:numRef>
              <c:f>'additional plots'!$E$3:$E$26</c:f>
              <c:numCache>
                <c:formatCode>0.000</c:formatCode>
                <c:ptCount val="24"/>
                <c:pt idx="0">
                  <c:v>6.2896734105948003E-3</c:v>
                </c:pt>
                <c:pt idx="1">
                  <c:v>1.9717939965368601E-2</c:v>
                </c:pt>
                <c:pt idx="2">
                  <c:v>2.4154879744189999E-3</c:v>
                </c:pt>
                <c:pt idx="3">
                  <c:v>1.7886953094548E-3</c:v>
                </c:pt>
                <c:pt idx="4">
                  <c:v>1.5332363633946001E-3</c:v>
                </c:pt>
                <c:pt idx="5">
                  <c:v>1.7566224084452901E-2</c:v>
                </c:pt>
                <c:pt idx="6">
                  <c:v>3.5801112972605998E-3</c:v>
                </c:pt>
                <c:pt idx="7">
                  <c:v>1.32066748562444E-2</c:v>
                </c:pt>
                <c:pt idx="8">
                  <c:v>5.0026505353704996E-3</c:v>
                </c:pt>
                <c:pt idx="9">
                  <c:v>1.8162245521840001E-3</c:v>
                </c:pt>
                <c:pt idx="10">
                  <c:v>2.5397428065815002E-3</c:v>
                </c:pt>
                <c:pt idx="11">
                  <c:v>3.2202596484366E-3</c:v>
                </c:pt>
                <c:pt idx="12">
                  <c:v>3.2846115674992999E-3</c:v>
                </c:pt>
                <c:pt idx="13">
                  <c:v>3.8802226158114001E-3</c:v>
                </c:pt>
                <c:pt idx="14">
                  <c:v>5.1159406074247999E-3</c:v>
                </c:pt>
                <c:pt idx="15">
                  <c:v>5.4570025417987004E-3</c:v>
                </c:pt>
                <c:pt idx="16">
                  <c:v>6.3506202510991002E-3</c:v>
                </c:pt>
                <c:pt idx="17">
                  <c:v>1.67200172246228E-2</c:v>
                </c:pt>
                <c:pt idx="18">
                  <c:v>9.7990091663568996E-3</c:v>
                </c:pt>
                <c:pt idx="19">
                  <c:v>1.00168588195909E-2</c:v>
                </c:pt>
                <c:pt idx="20">
                  <c:v>1.7536097311226798E-2</c:v>
                </c:pt>
                <c:pt idx="21">
                  <c:v>1.0608506334761099E-2</c:v>
                </c:pt>
                <c:pt idx="22">
                  <c:v>1.5566913048002E-2</c:v>
                </c:pt>
                <c:pt idx="23">
                  <c:v>1.53101121021577E-2</c:v>
                </c:pt>
              </c:numCache>
            </c:numRef>
          </c:xVal>
          <c:yVal>
            <c:numRef>
              <c:f>'additional plots'!$AD$3:$AD$26</c:f>
              <c:numCache>
                <c:formatCode>0</c:formatCode>
                <c:ptCount val="24"/>
                <c:pt idx="0">
                  <c:v>607.21925227194197</c:v>
                </c:pt>
                <c:pt idx="1">
                  <c:v>2340.8646237482199</c:v>
                </c:pt>
                <c:pt idx="2">
                  <c:v>204.46256274397601</c:v>
                </c:pt>
                <c:pt idx="3">
                  <c:v>140.475668622098</c:v>
                </c:pt>
                <c:pt idx="4">
                  <c:v>112.723847443701</c:v>
                </c:pt>
                <c:pt idx="5">
                  <c:v>2942.6253974320498</c:v>
                </c:pt>
                <c:pt idx="6">
                  <c:v>338.93937588352497</c:v>
                </c:pt>
                <c:pt idx="7">
                  <c:v>1695.86790550979</c:v>
                </c:pt>
                <c:pt idx="8">
                  <c:v>436.08095780620698</c:v>
                </c:pt>
                <c:pt idx="9">
                  <c:v>81.019011966525596</c:v>
                </c:pt>
                <c:pt idx="10">
                  <c:v>126.832623085469</c:v>
                </c:pt>
                <c:pt idx="11">
                  <c:v>185.08210991770099</c:v>
                </c:pt>
                <c:pt idx="12">
                  <c:v>125.466688043638</c:v>
                </c:pt>
                <c:pt idx="13">
                  <c:v>243.175452030646</c:v>
                </c:pt>
                <c:pt idx="14">
                  <c:v>248.24423766650801</c:v>
                </c:pt>
                <c:pt idx="15">
                  <c:v>276.11438837474401</c:v>
                </c:pt>
                <c:pt idx="16">
                  <c:v>360.39417428180798</c:v>
                </c:pt>
                <c:pt idx="17">
                  <c:v>1117.1244414376599</c:v>
                </c:pt>
                <c:pt idx="18">
                  <c:v>483.99247188426398</c:v>
                </c:pt>
                <c:pt idx="19">
                  <c:v>470.55188580220403</c:v>
                </c:pt>
                <c:pt idx="20">
                  <c:v>788.24773146305495</c:v>
                </c:pt>
                <c:pt idx="21">
                  <c:v>299.78475865686198</c:v>
                </c:pt>
                <c:pt idx="22">
                  <c:v>651.19289028068704</c:v>
                </c:pt>
                <c:pt idx="23">
                  <c:v>439.669775697945</c:v>
                </c:pt>
              </c:numCache>
            </c:numRef>
          </c:yVal>
          <c:smooth val="0"/>
          <c:extLst>
            <c:ext xmlns:c16="http://schemas.microsoft.com/office/drawing/2014/chart" uri="{C3380CC4-5D6E-409C-BE32-E72D297353CC}">
              <c16:uniqueId val="{00000002-627C-4FD4-8634-A8768E7C054D}"/>
            </c:ext>
          </c:extLst>
        </c:ser>
        <c:ser>
          <c:idx val="3"/>
          <c:order val="3"/>
          <c:tx>
            <c:strRef>
              <c:f>'additional plots'!$AE$2</c:f>
              <c:strCache>
                <c:ptCount val="1"/>
                <c:pt idx="0">
                  <c:v>Q50</c:v>
                </c:pt>
              </c:strCache>
            </c:strRef>
          </c:tx>
          <c:spPr>
            <a:ln w="19050" cap="rnd">
              <a:noFill/>
              <a:round/>
            </a:ln>
            <a:effectLst/>
          </c:spPr>
          <c:marker>
            <c:symbol val="circle"/>
            <c:size val="5"/>
            <c:spPr>
              <a:solidFill>
                <a:schemeClr val="accent4"/>
              </a:solidFill>
              <a:ln w="9525">
                <a:solidFill>
                  <a:schemeClr val="accent4"/>
                </a:solidFill>
              </a:ln>
              <a:effectLst/>
            </c:spPr>
          </c:marker>
          <c:xVal>
            <c:numRef>
              <c:f>'additional plots'!$E$3:$E$26</c:f>
              <c:numCache>
                <c:formatCode>0.000</c:formatCode>
                <c:ptCount val="24"/>
                <c:pt idx="0">
                  <c:v>6.2896734105948003E-3</c:v>
                </c:pt>
                <c:pt idx="1">
                  <c:v>1.9717939965368601E-2</c:v>
                </c:pt>
                <c:pt idx="2">
                  <c:v>2.4154879744189999E-3</c:v>
                </c:pt>
                <c:pt idx="3">
                  <c:v>1.7886953094548E-3</c:v>
                </c:pt>
                <c:pt idx="4">
                  <c:v>1.5332363633946001E-3</c:v>
                </c:pt>
                <c:pt idx="5">
                  <c:v>1.7566224084452901E-2</c:v>
                </c:pt>
                <c:pt idx="6">
                  <c:v>3.5801112972605998E-3</c:v>
                </c:pt>
                <c:pt idx="7">
                  <c:v>1.32066748562444E-2</c:v>
                </c:pt>
                <c:pt idx="8">
                  <c:v>5.0026505353704996E-3</c:v>
                </c:pt>
                <c:pt idx="9">
                  <c:v>1.8162245521840001E-3</c:v>
                </c:pt>
                <c:pt idx="10">
                  <c:v>2.5397428065815002E-3</c:v>
                </c:pt>
                <c:pt idx="11">
                  <c:v>3.2202596484366E-3</c:v>
                </c:pt>
                <c:pt idx="12">
                  <c:v>3.2846115674992999E-3</c:v>
                </c:pt>
                <c:pt idx="13">
                  <c:v>3.8802226158114001E-3</c:v>
                </c:pt>
                <c:pt idx="14">
                  <c:v>5.1159406074247999E-3</c:v>
                </c:pt>
                <c:pt idx="15">
                  <c:v>5.4570025417987004E-3</c:v>
                </c:pt>
                <c:pt idx="16">
                  <c:v>6.3506202510991002E-3</c:v>
                </c:pt>
                <c:pt idx="17">
                  <c:v>1.67200172246228E-2</c:v>
                </c:pt>
                <c:pt idx="18">
                  <c:v>9.7990091663568996E-3</c:v>
                </c:pt>
                <c:pt idx="19">
                  <c:v>1.00168588195909E-2</c:v>
                </c:pt>
                <c:pt idx="20">
                  <c:v>1.7536097311226798E-2</c:v>
                </c:pt>
                <c:pt idx="21">
                  <c:v>1.0608506334761099E-2</c:v>
                </c:pt>
                <c:pt idx="22">
                  <c:v>1.5566913048002E-2</c:v>
                </c:pt>
                <c:pt idx="23">
                  <c:v>1.53101121021577E-2</c:v>
                </c:pt>
              </c:numCache>
            </c:numRef>
          </c:xVal>
          <c:yVal>
            <c:numRef>
              <c:f>'additional plots'!$AE$3:$AE$26</c:f>
              <c:numCache>
                <c:formatCode>0</c:formatCode>
                <c:ptCount val="24"/>
                <c:pt idx="0">
                  <c:v>691.39785478051397</c:v>
                </c:pt>
                <c:pt idx="1">
                  <c:v>2740.2885228536302</c:v>
                </c:pt>
                <c:pt idx="2">
                  <c:v>235.685654358802</c:v>
                </c:pt>
                <c:pt idx="3">
                  <c:v>162.14671255845599</c:v>
                </c:pt>
                <c:pt idx="4">
                  <c:v>127.61254751385999</c:v>
                </c:pt>
                <c:pt idx="5">
                  <c:v>3477.0782066296001</c:v>
                </c:pt>
                <c:pt idx="6">
                  <c:v>383.71481718091201</c:v>
                </c:pt>
                <c:pt idx="7">
                  <c:v>2014.6974494338201</c:v>
                </c:pt>
                <c:pt idx="8">
                  <c:v>493.275407151286</c:v>
                </c:pt>
                <c:pt idx="9">
                  <c:v>90.692760566358103</c:v>
                </c:pt>
                <c:pt idx="10">
                  <c:v>140.314737684775</c:v>
                </c:pt>
                <c:pt idx="11">
                  <c:v>209.984393227064</c:v>
                </c:pt>
                <c:pt idx="12">
                  <c:v>146.950474865388</c:v>
                </c:pt>
                <c:pt idx="13">
                  <c:v>290.08587636315201</c:v>
                </c:pt>
                <c:pt idx="14">
                  <c:v>274.155806193378</c:v>
                </c:pt>
                <c:pt idx="15">
                  <c:v>314.019141696227</c:v>
                </c:pt>
                <c:pt idx="16">
                  <c:v>426.26432218159198</c:v>
                </c:pt>
                <c:pt idx="17">
                  <c:v>1362.4731516491299</c:v>
                </c:pt>
                <c:pt idx="18">
                  <c:v>550.601101656938</c:v>
                </c:pt>
                <c:pt idx="19">
                  <c:v>577.87361741458699</c:v>
                </c:pt>
                <c:pt idx="20">
                  <c:v>931.28795282121405</c:v>
                </c:pt>
                <c:pt idx="21">
                  <c:v>349.943254373466</c:v>
                </c:pt>
                <c:pt idx="22">
                  <c:v>766.52895286565695</c:v>
                </c:pt>
                <c:pt idx="23">
                  <c:v>516.67848212160197</c:v>
                </c:pt>
              </c:numCache>
            </c:numRef>
          </c:yVal>
          <c:smooth val="0"/>
          <c:extLst>
            <c:ext xmlns:c16="http://schemas.microsoft.com/office/drawing/2014/chart" uri="{C3380CC4-5D6E-409C-BE32-E72D297353CC}">
              <c16:uniqueId val="{00000003-627C-4FD4-8634-A8768E7C054D}"/>
            </c:ext>
          </c:extLst>
        </c:ser>
        <c:dLbls>
          <c:showLegendKey val="0"/>
          <c:showVal val="0"/>
          <c:showCatName val="0"/>
          <c:showSerName val="0"/>
          <c:showPercent val="0"/>
          <c:showBubbleSize val="0"/>
        </c:dLbls>
        <c:axId val="1616491791"/>
        <c:axId val="1616481807"/>
      </c:scatterChart>
      <c:valAx>
        <c:axId val="1616491791"/>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481807"/>
        <c:crosses val="autoZero"/>
        <c:crossBetween val="midCat"/>
      </c:valAx>
      <c:valAx>
        <c:axId val="161648180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49179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27</xdr:col>
      <xdr:colOff>67234</xdr:colOff>
      <xdr:row>2</xdr:row>
      <xdr:rowOff>17929</xdr:rowOff>
    </xdr:from>
    <xdr:to>
      <xdr:col>34</xdr:col>
      <xdr:colOff>372034</xdr:colOff>
      <xdr:row>17</xdr:row>
      <xdr:rowOff>71717</xdr:rowOff>
    </xdr:to>
    <xdr:graphicFrame macro="">
      <xdr:nvGraphicFramePr>
        <xdr:cNvPr id="3" name="Chart 2">
          <a:extLst>
            <a:ext uri="{FF2B5EF4-FFF2-40B4-BE49-F238E27FC236}">
              <a16:creationId xmlns:a16="http://schemas.microsoft.com/office/drawing/2014/main" id="{B0787CC8-3E2F-2AE9-8A39-A392F781CC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479611</xdr:colOff>
      <xdr:row>20</xdr:row>
      <xdr:rowOff>304800</xdr:rowOff>
    </xdr:from>
    <xdr:to>
      <xdr:col>35</xdr:col>
      <xdr:colOff>174811</xdr:colOff>
      <xdr:row>27</xdr:row>
      <xdr:rowOff>170329</xdr:rowOff>
    </xdr:to>
    <xdr:graphicFrame macro="">
      <xdr:nvGraphicFramePr>
        <xdr:cNvPr id="4" name="Chart 3">
          <a:extLst>
            <a:ext uri="{FF2B5EF4-FFF2-40B4-BE49-F238E27FC236}">
              <a16:creationId xmlns:a16="http://schemas.microsoft.com/office/drawing/2014/main" id="{18B6DF14-D8F9-E1F9-FD9F-F146D40F39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448235</xdr:colOff>
      <xdr:row>2</xdr:row>
      <xdr:rowOff>71718</xdr:rowOff>
    </xdr:from>
    <xdr:to>
      <xdr:col>25</xdr:col>
      <xdr:colOff>412376</xdr:colOff>
      <xdr:row>19</xdr:row>
      <xdr:rowOff>8966</xdr:rowOff>
    </xdr:to>
    <xdr:graphicFrame macro="">
      <xdr:nvGraphicFramePr>
        <xdr:cNvPr id="5" name="Chart 4">
          <a:extLst>
            <a:ext uri="{FF2B5EF4-FFF2-40B4-BE49-F238E27FC236}">
              <a16:creationId xmlns:a16="http://schemas.microsoft.com/office/drawing/2014/main" id="{0A03AAFE-12D5-1743-7295-327452941E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443751</xdr:colOff>
      <xdr:row>19</xdr:row>
      <xdr:rowOff>71725</xdr:rowOff>
    </xdr:from>
    <xdr:to>
      <xdr:col>25</xdr:col>
      <xdr:colOff>430306</xdr:colOff>
      <xdr:row>25</xdr:row>
      <xdr:rowOff>107584</xdr:rowOff>
    </xdr:to>
    <xdr:graphicFrame macro="">
      <xdr:nvGraphicFramePr>
        <xdr:cNvPr id="6" name="Chart 5">
          <a:extLst>
            <a:ext uri="{FF2B5EF4-FFF2-40B4-BE49-F238E27FC236}">
              <a16:creationId xmlns:a16="http://schemas.microsoft.com/office/drawing/2014/main" id="{EC6A07C1-CF61-9AC4-46AE-19CC94F33A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18</xdr:col>
      <xdr:colOff>409431</xdr:colOff>
      <xdr:row>24</xdr:row>
      <xdr:rowOff>27727</xdr:rowOff>
    </xdr:from>
    <xdr:to>
      <xdr:col>29</xdr:col>
      <xdr:colOff>211311</xdr:colOff>
      <xdr:row>47</xdr:row>
      <xdr:rowOff>7043</xdr:rowOff>
    </xdr:to>
    <xdr:graphicFrame macro="">
      <xdr:nvGraphicFramePr>
        <xdr:cNvPr id="4" name="Chart 3">
          <a:extLst>
            <a:ext uri="{FF2B5EF4-FFF2-40B4-BE49-F238E27FC236}">
              <a16:creationId xmlns:a16="http://schemas.microsoft.com/office/drawing/2014/main" id="{9BE1DDE4-21E0-9834-0A71-9393818981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115388</xdr:colOff>
      <xdr:row>0</xdr:row>
      <xdr:rowOff>0</xdr:rowOff>
    </xdr:from>
    <xdr:to>
      <xdr:col>36</xdr:col>
      <xdr:colOff>526868</xdr:colOff>
      <xdr:row>21</xdr:row>
      <xdr:rowOff>74023</xdr:rowOff>
    </xdr:to>
    <xdr:graphicFrame macro="">
      <xdr:nvGraphicFramePr>
        <xdr:cNvPr id="3" name="Chart 2">
          <a:extLst>
            <a:ext uri="{FF2B5EF4-FFF2-40B4-BE49-F238E27FC236}">
              <a16:creationId xmlns:a16="http://schemas.microsoft.com/office/drawing/2014/main" id="{EA09493E-6521-4F4E-B8B4-4E77F8729E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179295</xdr:colOff>
      <xdr:row>18</xdr:row>
      <xdr:rowOff>174812</xdr:rowOff>
    </xdr:from>
    <xdr:to>
      <xdr:col>16</xdr:col>
      <xdr:colOff>510988</xdr:colOff>
      <xdr:row>40</xdr:row>
      <xdr:rowOff>116541</xdr:rowOff>
    </xdr:to>
    <xdr:graphicFrame macro="">
      <xdr:nvGraphicFramePr>
        <xdr:cNvPr id="2" name="Chart 1">
          <a:extLst>
            <a:ext uri="{FF2B5EF4-FFF2-40B4-BE49-F238E27FC236}">
              <a16:creationId xmlns:a16="http://schemas.microsoft.com/office/drawing/2014/main" id="{769C2A49-71D7-67A1-EE5C-70365D4096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17</xdr:col>
      <xdr:colOff>266700</xdr:colOff>
      <xdr:row>4</xdr:row>
      <xdr:rowOff>53340</xdr:rowOff>
    </xdr:from>
    <xdr:to>
      <xdr:col>36</xdr:col>
      <xdr:colOff>281940</xdr:colOff>
      <xdr:row>26</xdr:row>
      <xdr:rowOff>15240</xdr:rowOff>
    </xdr:to>
    <xdr:graphicFrame macro="">
      <xdr:nvGraphicFramePr>
        <xdr:cNvPr id="2" name="Chart 1">
          <a:extLst>
            <a:ext uri="{FF2B5EF4-FFF2-40B4-BE49-F238E27FC236}">
              <a16:creationId xmlns:a16="http://schemas.microsoft.com/office/drawing/2014/main" id="{071EFC07-FFD4-6FD9-2F71-3DCB8CD999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FFB54-CA67-429C-BE90-2202E00F91E9}">
  <dimension ref="A1:HD28"/>
  <sheetViews>
    <sheetView tabSelected="1" zoomScaleNormal="100" workbookViewId="0">
      <selection activeCell="K16" sqref="K16"/>
    </sheetView>
  </sheetViews>
  <sheetFormatPr defaultRowHeight="14.4" x14ac:dyDescent="0.3"/>
  <cols>
    <col min="1" max="1" width="5.6640625" bestFit="1" customWidth="1"/>
    <col min="2" max="2" width="8.6640625" customWidth="1"/>
    <col min="3" max="3" width="9.6640625" customWidth="1"/>
    <col min="4" max="4" width="6.77734375" style="18" customWidth="1"/>
    <col min="5" max="5" width="5.6640625" style="18" customWidth="1"/>
    <col min="6" max="6" width="9.33203125" customWidth="1"/>
    <col min="7" max="7" width="8.109375" style="18" customWidth="1"/>
    <col min="8" max="8" width="5.5546875" style="18" customWidth="1"/>
    <col min="9" max="9" width="4.33203125" style="18" bestFit="1" customWidth="1"/>
    <col min="10" max="10" width="5.5546875" customWidth="1"/>
    <col min="11" max="11" width="8.33203125" style="87" customWidth="1"/>
    <col min="12" max="12" width="8.33203125" style="18" customWidth="1"/>
    <col min="13" max="13" width="3.33203125" customWidth="1"/>
    <col min="14" max="14" width="4.109375" customWidth="1"/>
    <col min="15" max="16" width="4.33203125" customWidth="1"/>
    <col min="17" max="18" width="5.33203125" customWidth="1"/>
    <col min="19" max="20" width="3.33203125" customWidth="1"/>
    <col min="21" max="22" width="4.44140625" customWidth="1"/>
    <col min="23" max="24" width="5.33203125" customWidth="1"/>
    <col min="25" max="30" width="6.44140625" customWidth="1"/>
    <col min="31" max="31" width="7.21875" customWidth="1"/>
    <col min="32" max="37" width="5.33203125" customWidth="1"/>
  </cols>
  <sheetData>
    <row r="1" spans="1:37" s="12" customFormat="1" ht="35.4" customHeight="1" x14ac:dyDescent="0.3">
      <c r="A1" s="227" t="s">
        <v>8</v>
      </c>
      <c r="B1" s="237" t="s">
        <v>305</v>
      </c>
      <c r="C1" s="229" t="s">
        <v>247</v>
      </c>
      <c r="D1" s="230"/>
      <c r="E1" s="230"/>
      <c r="F1" s="230"/>
      <c r="G1" s="230"/>
      <c r="H1" s="230"/>
      <c r="I1" s="230"/>
      <c r="J1" s="231"/>
      <c r="K1" s="233" t="s">
        <v>306</v>
      </c>
      <c r="L1" s="234"/>
      <c r="M1" s="233" t="s">
        <v>250</v>
      </c>
      <c r="N1" s="226"/>
      <c r="O1" s="226"/>
      <c r="P1" s="226"/>
      <c r="Q1" s="226"/>
      <c r="R1" s="226"/>
      <c r="S1" s="226" t="s">
        <v>251</v>
      </c>
      <c r="T1" s="226"/>
      <c r="U1" s="226"/>
      <c r="V1" s="226"/>
      <c r="W1" s="226"/>
      <c r="X1" s="234"/>
      <c r="Y1" s="233" t="s">
        <v>252</v>
      </c>
      <c r="Z1" s="226"/>
      <c r="AA1" s="226"/>
      <c r="AB1" s="226" t="s">
        <v>252</v>
      </c>
      <c r="AC1" s="226"/>
      <c r="AD1" s="226"/>
      <c r="AE1" s="233" t="s">
        <v>51</v>
      </c>
      <c r="AF1" s="226" t="s">
        <v>249</v>
      </c>
      <c r="AG1" s="226"/>
      <c r="AH1" s="226"/>
      <c r="AI1" s="226"/>
      <c r="AJ1" s="226"/>
      <c r="AK1" s="234"/>
    </row>
    <row r="2" spans="1:37" s="12" customFormat="1" ht="28.8" customHeight="1" x14ac:dyDescent="0.3">
      <c r="A2" s="228"/>
      <c r="B2" s="238"/>
      <c r="C2" s="169" t="s">
        <v>276</v>
      </c>
      <c r="D2" s="106" t="s">
        <v>52</v>
      </c>
      <c r="E2" s="106" t="s">
        <v>54</v>
      </c>
      <c r="F2" s="106" t="s">
        <v>277</v>
      </c>
      <c r="G2" s="106" t="s">
        <v>244</v>
      </c>
      <c r="H2" s="106" t="s">
        <v>246</v>
      </c>
      <c r="I2" s="106" t="s">
        <v>245</v>
      </c>
      <c r="J2" s="107" t="s">
        <v>248</v>
      </c>
      <c r="K2" s="111" t="s">
        <v>242</v>
      </c>
      <c r="L2" s="107" t="s">
        <v>243</v>
      </c>
      <c r="M2" s="111" t="s">
        <v>30</v>
      </c>
      <c r="N2" s="106" t="s">
        <v>31</v>
      </c>
      <c r="O2" s="106" t="s">
        <v>32</v>
      </c>
      <c r="P2" s="106" t="s">
        <v>33</v>
      </c>
      <c r="Q2" s="106" t="s">
        <v>34</v>
      </c>
      <c r="R2" s="106" t="s">
        <v>35</v>
      </c>
      <c r="S2" s="106" t="s">
        <v>30</v>
      </c>
      <c r="T2" s="106" t="s">
        <v>31</v>
      </c>
      <c r="U2" s="106" t="s">
        <v>32</v>
      </c>
      <c r="V2" s="106" t="s">
        <v>33</v>
      </c>
      <c r="W2" s="106" t="s">
        <v>34</v>
      </c>
      <c r="X2" s="107" t="s">
        <v>35</v>
      </c>
      <c r="Y2" s="111" t="s">
        <v>56</v>
      </c>
      <c r="Z2" s="106" t="s">
        <v>57</v>
      </c>
      <c r="AA2" s="106" t="s">
        <v>58</v>
      </c>
      <c r="AB2" s="106" t="s">
        <v>56</v>
      </c>
      <c r="AC2" s="106" t="s">
        <v>57</v>
      </c>
      <c r="AD2" s="106" t="s">
        <v>58</v>
      </c>
      <c r="AE2" s="235"/>
      <c r="AF2" s="106" t="s">
        <v>30</v>
      </c>
      <c r="AG2" s="106" t="s">
        <v>31</v>
      </c>
      <c r="AH2" s="106" t="s">
        <v>32</v>
      </c>
      <c r="AI2" s="106" t="s">
        <v>33</v>
      </c>
      <c r="AJ2" s="106" t="s">
        <v>34</v>
      </c>
      <c r="AK2" s="107" t="s">
        <v>35</v>
      </c>
    </row>
    <row r="3" spans="1:37" x14ac:dyDescent="0.3">
      <c r="A3" s="109" t="s">
        <v>36</v>
      </c>
      <c r="B3" s="95" t="s">
        <v>319</v>
      </c>
      <c r="C3" s="171" t="s">
        <v>50</v>
      </c>
      <c r="D3" s="4">
        <v>1.6922900000000001</v>
      </c>
      <c r="E3" s="94">
        <v>6.2896734105948003E-3</v>
      </c>
      <c r="F3" s="7" t="s">
        <v>50</v>
      </c>
      <c r="G3" s="3" t="s">
        <v>122</v>
      </c>
      <c r="H3" s="7" t="s">
        <v>50</v>
      </c>
      <c r="I3" s="7" t="s">
        <v>50</v>
      </c>
      <c r="J3" s="147" t="s">
        <v>50</v>
      </c>
      <c r="K3" s="92" t="s">
        <v>50</v>
      </c>
      <c r="L3" s="139" t="s">
        <v>50</v>
      </c>
      <c r="M3" s="137">
        <v>0</v>
      </c>
      <c r="N3" s="95">
        <v>0</v>
      </c>
      <c r="O3" s="95">
        <v>0</v>
      </c>
      <c r="P3" s="95">
        <v>0</v>
      </c>
      <c r="Q3" s="95">
        <v>0</v>
      </c>
      <c r="R3" s="95">
        <v>0</v>
      </c>
      <c r="S3" s="95">
        <v>0.23820469722832668</v>
      </c>
      <c r="T3" s="95">
        <v>0.47387772877004181</v>
      </c>
      <c r="U3" s="95">
        <v>0.4764186216762068</v>
      </c>
      <c r="V3" s="95">
        <v>0.4932013393883336</v>
      </c>
      <c r="W3" s="95">
        <v>0.57296487116323502</v>
      </c>
      <c r="X3" s="96">
        <v>0.91201309692037413</v>
      </c>
      <c r="Y3" s="136" t="s">
        <v>50</v>
      </c>
      <c r="Z3" s="7" t="s">
        <v>50</v>
      </c>
      <c r="AA3" s="7" t="s">
        <v>50</v>
      </c>
      <c r="AB3" s="7" t="s">
        <v>50</v>
      </c>
      <c r="AC3" s="7" t="s">
        <v>50</v>
      </c>
      <c r="AD3" s="7" t="s">
        <v>50</v>
      </c>
      <c r="AE3" s="136" t="s">
        <v>50</v>
      </c>
      <c r="AF3" s="95">
        <v>258.92696287516702</v>
      </c>
      <c r="AG3" s="95">
        <v>377.304980823253</v>
      </c>
      <c r="AH3" s="95">
        <v>607.21925227194197</v>
      </c>
      <c r="AI3" s="95">
        <v>691.39785478051397</v>
      </c>
      <c r="AJ3" s="95">
        <v>812.37250900844901</v>
      </c>
      <c r="AK3" s="96">
        <v>1113.9293873336901</v>
      </c>
    </row>
    <row r="4" spans="1:37" x14ac:dyDescent="0.3">
      <c r="A4" s="109" t="s">
        <v>37</v>
      </c>
      <c r="B4" s="95" t="s">
        <v>320</v>
      </c>
      <c r="C4" s="171" t="s">
        <v>50</v>
      </c>
      <c r="D4" s="4">
        <v>0.83223800000000003</v>
      </c>
      <c r="E4" s="94">
        <v>1.9717939965368601E-2</v>
      </c>
      <c r="F4" s="7" t="s">
        <v>50</v>
      </c>
      <c r="G4" s="3" t="s">
        <v>122</v>
      </c>
      <c r="H4" s="7" t="s">
        <v>50</v>
      </c>
      <c r="I4" s="7" t="s">
        <v>50</v>
      </c>
      <c r="J4" s="147" t="s">
        <v>50</v>
      </c>
      <c r="K4" s="92" t="s">
        <v>50</v>
      </c>
      <c r="L4" s="139" t="s">
        <v>50</v>
      </c>
      <c r="M4" s="137">
        <v>0</v>
      </c>
      <c r="N4" s="95">
        <v>0</v>
      </c>
      <c r="O4" s="95">
        <v>0</v>
      </c>
      <c r="P4" s="95">
        <v>0</v>
      </c>
      <c r="Q4" s="95">
        <v>0</v>
      </c>
      <c r="R4" s="95">
        <v>0</v>
      </c>
      <c r="S4" s="95">
        <v>1.0909921054922089E-2</v>
      </c>
      <c r="T4" s="95">
        <v>1.3035584900527612E-2</v>
      </c>
      <c r="U4" s="95">
        <v>1.3647100346351403E-2</v>
      </c>
      <c r="V4" s="95">
        <v>1.3647100346351403E-2</v>
      </c>
      <c r="W4" s="95">
        <v>1.3647100346351403E-2</v>
      </c>
      <c r="X4" s="96">
        <v>1.3676637460950472E-2</v>
      </c>
      <c r="Y4" s="136" t="s">
        <v>50</v>
      </c>
      <c r="Z4" s="7" t="s">
        <v>50</v>
      </c>
      <c r="AA4" s="7" t="s">
        <v>50</v>
      </c>
      <c r="AB4" s="7" t="s">
        <v>50</v>
      </c>
      <c r="AC4" s="7" t="s">
        <v>50</v>
      </c>
      <c r="AD4" s="7" t="s">
        <v>50</v>
      </c>
      <c r="AE4" s="136" t="s">
        <v>50</v>
      </c>
      <c r="AF4" s="95">
        <v>1033.2007403963701</v>
      </c>
      <c r="AG4" s="95">
        <v>1524.12326310039</v>
      </c>
      <c r="AH4" s="95">
        <v>2340.8646237482199</v>
      </c>
      <c r="AI4" s="95">
        <v>2740.2885228536302</v>
      </c>
      <c r="AJ4" s="95">
        <v>3317.87785073656</v>
      </c>
      <c r="AK4" s="96">
        <v>4415.62145124362</v>
      </c>
    </row>
    <row r="5" spans="1:37" ht="14.4" customHeight="1" x14ac:dyDescent="0.3">
      <c r="A5" s="109" t="s">
        <v>38</v>
      </c>
      <c r="B5" s="95" t="s">
        <v>321</v>
      </c>
      <c r="C5" s="171" t="s">
        <v>50</v>
      </c>
      <c r="D5" s="4">
        <v>1.0626099999999998</v>
      </c>
      <c r="E5" s="17">
        <v>2.6072955553569998E-4</v>
      </c>
      <c r="F5" s="239" t="s">
        <v>59</v>
      </c>
      <c r="G5" s="223"/>
      <c r="H5" s="223"/>
      <c r="I5" s="223"/>
      <c r="J5" s="224"/>
      <c r="K5" s="222" t="s">
        <v>59</v>
      </c>
      <c r="L5" s="224"/>
      <c r="M5" s="222" t="s">
        <v>59</v>
      </c>
      <c r="N5" s="223"/>
      <c r="O5" s="223"/>
      <c r="P5" s="223"/>
      <c r="Q5" s="223"/>
      <c r="R5" s="223"/>
      <c r="S5" s="223"/>
      <c r="T5" s="223"/>
      <c r="U5" s="223"/>
      <c r="V5" s="223"/>
      <c r="W5" s="223"/>
      <c r="X5" s="224"/>
      <c r="Y5" s="222" t="s">
        <v>59</v>
      </c>
      <c r="Z5" s="223"/>
      <c r="AA5" s="223"/>
      <c r="AB5" s="223"/>
      <c r="AC5" s="223"/>
      <c r="AD5" s="223"/>
      <c r="AE5" s="223"/>
      <c r="AF5" s="223"/>
      <c r="AG5" s="223"/>
      <c r="AH5" s="223"/>
      <c r="AI5" s="223"/>
      <c r="AJ5" s="223"/>
      <c r="AK5" s="224"/>
    </row>
    <row r="6" spans="1:37" x14ac:dyDescent="0.3">
      <c r="A6" s="109" t="s">
        <v>19</v>
      </c>
      <c r="B6" s="95" t="s">
        <v>322</v>
      </c>
      <c r="C6" s="95">
        <v>117.78401927998399</v>
      </c>
      <c r="D6" s="4">
        <v>2.7600700000000002</v>
      </c>
      <c r="E6" s="16">
        <v>2.4154879744189999E-3</v>
      </c>
      <c r="F6" s="7" t="s">
        <v>279</v>
      </c>
      <c r="G6" s="3" t="s">
        <v>129</v>
      </c>
      <c r="H6" s="23">
        <v>1.5772358179092401</v>
      </c>
      <c r="I6" s="4">
        <v>1.4</v>
      </c>
      <c r="J6" s="148">
        <v>0.99998699301276683</v>
      </c>
      <c r="K6" s="92" t="s">
        <v>50</v>
      </c>
      <c r="L6" s="139" t="s">
        <v>50</v>
      </c>
      <c r="M6" s="137">
        <v>0</v>
      </c>
      <c r="N6" s="95">
        <v>0</v>
      </c>
      <c r="O6" s="95">
        <v>0</v>
      </c>
      <c r="P6" s="95">
        <v>0</v>
      </c>
      <c r="Q6" s="95">
        <v>0</v>
      </c>
      <c r="R6" s="95">
        <v>0</v>
      </c>
      <c r="S6" s="95">
        <v>0.12761944868586303</v>
      </c>
      <c r="T6" s="95">
        <v>0.20705626313238143</v>
      </c>
      <c r="U6" s="95">
        <v>0.22729125609780332</v>
      </c>
      <c r="V6" s="95">
        <v>0.30546329095422181</v>
      </c>
      <c r="W6" s="95">
        <v>0.44125034759469145</v>
      </c>
      <c r="X6" s="96">
        <v>1.0623789251116493</v>
      </c>
      <c r="Y6" s="128">
        <v>170.02069640478601</v>
      </c>
      <c r="Z6" s="3">
        <v>282.080456875989</v>
      </c>
      <c r="AA6" s="3">
        <v>467.97511319843699</v>
      </c>
      <c r="AB6" s="3">
        <v>170.02069640478601</v>
      </c>
      <c r="AC6" s="3">
        <v>282.080456875989</v>
      </c>
      <c r="AD6" s="3">
        <v>467.97511319843699</v>
      </c>
      <c r="AE6" s="92" t="s">
        <v>32</v>
      </c>
      <c r="AF6" s="95">
        <v>93.449662852611198</v>
      </c>
      <c r="AG6" s="95">
        <v>130.95075542190901</v>
      </c>
      <c r="AH6" s="95">
        <v>204.46256274397601</v>
      </c>
      <c r="AI6" s="95">
        <v>235.685654358802</v>
      </c>
      <c r="AJ6" s="95">
        <v>274.26771122603299</v>
      </c>
      <c r="AK6" s="96">
        <v>369.08031672416303</v>
      </c>
    </row>
    <row r="7" spans="1:37" x14ac:dyDescent="0.3">
      <c r="A7" s="109" t="s">
        <v>20</v>
      </c>
      <c r="B7" s="95" t="s">
        <v>323</v>
      </c>
      <c r="C7" s="95">
        <v>124.75578996767101</v>
      </c>
      <c r="D7" s="4">
        <v>2.96326</v>
      </c>
      <c r="E7" s="16">
        <v>1.7886953094548E-3</v>
      </c>
      <c r="F7" s="7" t="s">
        <v>280</v>
      </c>
      <c r="G7" s="3" t="s">
        <v>129</v>
      </c>
      <c r="H7" s="23">
        <v>3.0424644947052002</v>
      </c>
      <c r="I7" s="4">
        <v>1.6</v>
      </c>
      <c r="J7" s="148">
        <v>1</v>
      </c>
      <c r="K7" s="92" t="s">
        <v>30</v>
      </c>
      <c r="L7" s="139" t="s">
        <v>50</v>
      </c>
      <c r="M7" s="137">
        <v>32.672462085675903</v>
      </c>
      <c r="N7" s="95">
        <v>32.672462085675903</v>
      </c>
      <c r="O7" s="95">
        <v>32.672462085675903</v>
      </c>
      <c r="P7" s="95">
        <v>32.672462085675903</v>
      </c>
      <c r="Q7" s="95">
        <v>32.672462085675903</v>
      </c>
      <c r="R7" s="95">
        <v>32.672462085675903</v>
      </c>
      <c r="S7" s="95">
        <v>2.321445315147908</v>
      </c>
      <c r="T7" s="95">
        <v>2.5012131674082765</v>
      </c>
      <c r="U7" s="95">
        <v>2.5288452357088138</v>
      </c>
      <c r="V7" s="95">
        <v>2.5367200529131293</v>
      </c>
      <c r="W7" s="95">
        <v>2.5802023348956924</v>
      </c>
      <c r="X7" s="96">
        <v>2.6187687221195541</v>
      </c>
      <c r="Y7" s="128">
        <v>77.892847846711703</v>
      </c>
      <c r="Z7" s="3">
        <v>204.20160038779201</v>
      </c>
      <c r="AA7" s="3">
        <v>411.22854439845099</v>
      </c>
      <c r="AB7" s="3">
        <v>77.892847846711703</v>
      </c>
      <c r="AC7" s="3">
        <v>204.20160038779201</v>
      </c>
      <c r="AD7" s="3">
        <v>411.22854439845099</v>
      </c>
      <c r="AE7" s="92" t="s">
        <v>31</v>
      </c>
      <c r="AF7" s="95">
        <v>72.238309444652501</v>
      </c>
      <c r="AG7" s="95">
        <v>96.1549612954324</v>
      </c>
      <c r="AH7" s="95">
        <v>140.475668622098</v>
      </c>
      <c r="AI7" s="95">
        <v>162.14671255845599</v>
      </c>
      <c r="AJ7" s="95">
        <v>178.31180583655299</v>
      </c>
      <c r="AK7" s="96">
        <v>232.69238882405</v>
      </c>
    </row>
    <row r="8" spans="1:37" x14ac:dyDescent="0.3">
      <c r="A8" s="109" t="s">
        <v>2</v>
      </c>
      <c r="B8" s="95" t="s">
        <v>324</v>
      </c>
      <c r="C8" s="95">
        <v>196.472259490233</v>
      </c>
      <c r="D8" s="4">
        <v>0.79327499999999995</v>
      </c>
      <c r="E8" s="16">
        <v>1.5332363633946001E-3</v>
      </c>
      <c r="F8" s="7" t="s">
        <v>281</v>
      </c>
      <c r="G8" s="3" t="s">
        <v>129</v>
      </c>
      <c r="H8" s="23">
        <v>1.7247385978698699</v>
      </c>
      <c r="I8" s="4">
        <v>1.7</v>
      </c>
      <c r="J8" s="148">
        <v>0.92290780988582521</v>
      </c>
      <c r="K8" s="92" t="s">
        <v>34</v>
      </c>
      <c r="L8" s="139" t="s">
        <v>30</v>
      </c>
      <c r="M8" s="137">
        <v>0</v>
      </c>
      <c r="N8" s="95">
        <v>0</v>
      </c>
      <c r="O8" s="95">
        <v>0</v>
      </c>
      <c r="P8" s="95">
        <v>0</v>
      </c>
      <c r="Q8" s="95">
        <v>12.2731713466326</v>
      </c>
      <c r="R8" s="95">
        <v>199.76426838107801</v>
      </c>
      <c r="S8" s="95">
        <v>5.7069543685761559</v>
      </c>
      <c r="T8" s="95">
        <v>12.593038698273158</v>
      </c>
      <c r="U8" s="95">
        <v>14.303316293852069</v>
      </c>
      <c r="V8" s="95">
        <v>14.359468536540419</v>
      </c>
      <c r="W8" s="95">
        <v>15.636107444276197</v>
      </c>
      <c r="X8" s="96">
        <v>18.908927410056286</v>
      </c>
      <c r="Y8" s="128">
        <v>139.37132086486301</v>
      </c>
      <c r="Z8" s="3">
        <v>397.16283997791601</v>
      </c>
      <c r="AA8" s="3">
        <v>1271.4143415188901</v>
      </c>
      <c r="AB8" s="3">
        <v>139.37132086486301</v>
      </c>
      <c r="AC8" s="3">
        <v>397.16283997791601</v>
      </c>
      <c r="AD8" s="3">
        <v>1271.4143415188901</v>
      </c>
      <c r="AE8" s="92" t="s">
        <v>34</v>
      </c>
      <c r="AF8" s="95">
        <v>57.730233318255102</v>
      </c>
      <c r="AG8" s="95">
        <v>81.896132605717497</v>
      </c>
      <c r="AH8" s="95">
        <v>112.723847443701</v>
      </c>
      <c r="AI8" s="95">
        <v>127.61254751385999</v>
      </c>
      <c r="AJ8" s="95">
        <v>143.404503162634</v>
      </c>
      <c r="AK8" s="96">
        <v>178.38847391407199</v>
      </c>
    </row>
    <row r="9" spans="1:37" x14ac:dyDescent="0.3">
      <c r="A9" s="109" t="s">
        <v>39</v>
      </c>
      <c r="B9" s="95" t="s">
        <v>325</v>
      </c>
      <c r="C9" s="171" t="s">
        <v>50</v>
      </c>
      <c r="D9" s="4">
        <v>0.230849</v>
      </c>
      <c r="E9" s="16">
        <v>1.7566224084452901E-2</v>
      </c>
      <c r="F9" s="7" t="s">
        <v>50</v>
      </c>
      <c r="G9" s="3" t="s">
        <v>122</v>
      </c>
      <c r="H9" s="7" t="s">
        <v>50</v>
      </c>
      <c r="I9" s="97" t="s">
        <v>50</v>
      </c>
      <c r="J9" s="147" t="s">
        <v>50</v>
      </c>
      <c r="K9" s="92" t="s">
        <v>34</v>
      </c>
      <c r="L9" s="139" t="s">
        <v>50</v>
      </c>
      <c r="M9" s="137">
        <v>0</v>
      </c>
      <c r="N9" s="95">
        <v>0</v>
      </c>
      <c r="O9" s="95">
        <v>0</v>
      </c>
      <c r="P9" s="95">
        <v>0</v>
      </c>
      <c r="Q9" s="95">
        <v>11.7046207694207</v>
      </c>
      <c r="R9" s="95">
        <v>14.156439923932901</v>
      </c>
      <c r="S9" s="95">
        <v>4.6543969894823024E-3</v>
      </c>
      <c r="T9" s="95">
        <v>4.6543969894823024E-3</v>
      </c>
      <c r="U9" s="95">
        <v>5.8714699809520945E-3</v>
      </c>
      <c r="V9" s="95">
        <v>7.3879000634000588E-3</v>
      </c>
      <c r="W9" s="95">
        <v>5.0693914222269973E-2</v>
      </c>
      <c r="X9" s="96">
        <v>5.2214235825047979E-2</v>
      </c>
      <c r="Y9" s="136" t="s">
        <v>50</v>
      </c>
      <c r="Z9" s="7" t="s">
        <v>50</v>
      </c>
      <c r="AA9" s="7" t="s">
        <v>50</v>
      </c>
      <c r="AB9" s="7" t="s">
        <v>50</v>
      </c>
      <c r="AC9" s="7" t="s">
        <v>50</v>
      </c>
      <c r="AD9" s="7" t="s">
        <v>50</v>
      </c>
      <c r="AE9" s="136" t="s">
        <v>50</v>
      </c>
      <c r="AF9" s="95">
        <v>1297.05269822949</v>
      </c>
      <c r="AG9" s="95">
        <v>1798.1535897070601</v>
      </c>
      <c r="AH9" s="95">
        <v>2942.6253974320498</v>
      </c>
      <c r="AI9" s="95">
        <v>3477.0782066296001</v>
      </c>
      <c r="AJ9" s="95">
        <v>3966.2471954601301</v>
      </c>
      <c r="AK9" s="96">
        <v>5282.0421105568303</v>
      </c>
    </row>
    <row r="10" spans="1:37" x14ac:dyDescent="0.3">
      <c r="A10" s="109" t="s">
        <v>21</v>
      </c>
      <c r="B10" s="95" t="s">
        <v>326</v>
      </c>
      <c r="C10" s="95">
        <v>155.17773655213301</v>
      </c>
      <c r="D10" s="4">
        <v>0.45486399999999999</v>
      </c>
      <c r="E10" s="16">
        <v>3.5801112972605998E-3</v>
      </c>
      <c r="F10" s="7" t="s">
        <v>282</v>
      </c>
      <c r="G10" s="3" t="s">
        <v>129</v>
      </c>
      <c r="H10" s="23">
        <v>2.6</v>
      </c>
      <c r="I10" s="4">
        <v>2.6</v>
      </c>
      <c r="J10" s="148">
        <v>0.88422113728203477</v>
      </c>
      <c r="K10" s="92" t="s">
        <v>31</v>
      </c>
      <c r="L10" s="139" t="s">
        <v>34</v>
      </c>
      <c r="M10" s="137">
        <v>0</v>
      </c>
      <c r="N10" s="95">
        <v>5.4367898976397298</v>
      </c>
      <c r="O10" s="95">
        <v>20.779837489887001</v>
      </c>
      <c r="P10" s="95">
        <v>41.825688557458903</v>
      </c>
      <c r="Q10" s="95">
        <v>85.056192620211704</v>
      </c>
      <c r="R10" s="95">
        <v>85.056192620211704</v>
      </c>
      <c r="S10" s="95">
        <v>9.1370719548178131E-2</v>
      </c>
      <c r="T10" s="95">
        <v>0.24557034367769268</v>
      </c>
      <c r="U10" s="95">
        <v>2.0212597922798419</v>
      </c>
      <c r="V10" s="95">
        <v>4.4569494141163295</v>
      </c>
      <c r="W10" s="95">
        <v>8.3328076089915672</v>
      </c>
      <c r="X10" s="96">
        <v>8.674584922363147</v>
      </c>
      <c r="Y10" s="128">
        <v>272.47096391357297</v>
      </c>
      <c r="Z10" s="3">
        <v>421.37832523288898</v>
      </c>
      <c r="AA10" s="3">
        <v>651.662677430141</v>
      </c>
      <c r="AB10" s="3">
        <v>272.47096391357297</v>
      </c>
      <c r="AC10" s="3">
        <v>421.37832523288898</v>
      </c>
      <c r="AD10" s="3">
        <v>651.662677430141</v>
      </c>
      <c r="AE10" s="92" t="s">
        <v>32</v>
      </c>
      <c r="AF10" s="95">
        <v>162.542861849644</v>
      </c>
      <c r="AG10" s="95">
        <v>228.075557710656</v>
      </c>
      <c r="AH10" s="95">
        <v>338.93937588352497</v>
      </c>
      <c r="AI10" s="95">
        <v>383.71481718091201</v>
      </c>
      <c r="AJ10" s="95">
        <v>423.71010695303499</v>
      </c>
      <c r="AK10" s="96">
        <v>533.88448389644702</v>
      </c>
    </row>
    <row r="11" spans="1:37" x14ac:dyDescent="0.3">
      <c r="A11" s="109" t="s">
        <v>40</v>
      </c>
      <c r="B11" s="95" t="s">
        <v>327</v>
      </c>
      <c r="C11" s="171" t="s">
        <v>50</v>
      </c>
      <c r="D11" s="4">
        <v>0.41472300000000001</v>
      </c>
      <c r="E11" s="16">
        <v>1.32066748562444E-2</v>
      </c>
      <c r="F11" s="7" t="s">
        <v>300</v>
      </c>
      <c r="G11" s="3" t="s">
        <v>122</v>
      </c>
      <c r="H11" s="7" t="s">
        <v>50</v>
      </c>
      <c r="I11" s="97" t="s">
        <v>50</v>
      </c>
      <c r="J11" s="148">
        <v>0.9426587640564128</v>
      </c>
      <c r="K11" s="92" t="s">
        <v>50</v>
      </c>
      <c r="L11" s="139" t="s">
        <v>50</v>
      </c>
      <c r="M11" s="137">
        <v>0</v>
      </c>
      <c r="N11" s="95">
        <v>0</v>
      </c>
      <c r="O11" s="95">
        <v>0</v>
      </c>
      <c r="P11" s="95">
        <v>0</v>
      </c>
      <c r="Q11" s="95">
        <v>0</v>
      </c>
      <c r="R11" s="95">
        <v>0</v>
      </c>
      <c r="S11" s="95">
        <v>1.2755375298128195E-2</v>
      </c>
      <c r="T11" s="95">
        <v>1.2755375298128195E-2</v>
      </c>
      <c r="U11" s="95">
        <v>1.2755375298128195E-2</v>
      </c>
      <c r="V11" s="95">
        <v>1.2755375298128195E-2</v>
      </c>
      <c r="W11" s="95">
        <v>1.2755375298128195E-2</v>
      </c>
      <c r="X11" s="96">
        <v>1.2755375298128195E-2</v>
      </c>
      <c r="Y11" s="136" t="s">
        <v>50</v>
      </c>
      <c r="Z11" s="7" t="s">
        <v>50</v>
      </c>
      <c r="AA11" s="7" t="s">
        <v>50</v>
      </c>
      <c r="AB11" s="7" t="s">
        <v>50</v>
      </c>
      <c r="AC11" s="7" t="s">
        <v>50</v>
      </c>
      <c r="AD11" s="7" t="s">
        <v>50</v>
      </c>
      <c r="AE11" s="136" t="s">
        <v>50</v>
      </c>
      <c r="AF11" s="95">
        <v>743.112195824786</v>
      </c>
      <c r="AG11" s="95">
        <v>1122.1144537897101</v>
      </c>
      <c r="AH11" s="95">
        <v>1695.86790550979</v>
      </c>
      <c r="AI11" s="95">
        <v>2014.6974494338201</v>
      </c>
      <c r="AJ11" s="95">
        <v>2347.4856510128402</v>
      </c>
      <c r="AK11" s="96">
        <v>3256.91888527423</v>
      </c>
    </row>
    <row r="12" spans="1:37" x14ac:dyDescent="0.3">
      <c r="A12" s="109" t="s">
        <v>22</v>
      </c>
      <c r="B12" s="95" t="s">
        <v>327</v>
      </c>
      <c r="C12" s="95">
        <v>161.269894386543</v>
      </c>
      <c r="D12" s="4">
        <v>0.54547500000000004</v>
      </c>
      <c r="E12" s="16">
        <v>5.0026505353704996E-3</v>
      </c>
      <c r="F12" s="7" t="s">
        <v>283</v>
      </c>
      <c r="G12" s="3" t="s">
        <v>129</v>
      </c>
      <c r="H12" s="23">
        <v>1.27729976177216</v>
      </c>
      <c r="I12" s="4">
        <v>1.8</v>
      </c>
      <c r="J12" s="148">
        <v>0.45438855841836273</v>
      </c>
      <c r="K12" s="92" t="s">
        <v>50</v>
      </c>
      <c r="L12" s="139" t="s">
        <v>206</v>
      </c>
      <c r="M12" s="137">
        <v>0</v>
      </c>
      <c r="N12" s="95">
        <v>0</v>
      </c>
      <c r="O12" s="95">
        <v>0</v>
      </c>
      <c r="P12" s="95">
        <v>0</v>
      </c>
      <c r="Q12" s="95">
        <v>0</v>
      </c>
      <c r="R12" s="95">
        <v>0</v>
      </c>
      <c r="S12" s="95">
        <v>0.12554131425570556</v>
      </c>
      <c r="T12" s="95">
        <v>0.15084259047889159</v>
      </c>
      <c r="U12" s="95">
        <v>2.2878221046870344</v>
      </c>
      <c r="V12" s="95">
        <v>5.9208053751392633</v>
      </c>
      <c r="W12" s="95">
        <v>11.215959271751299</v>
      </c>
      <c r="X12" s="96">
        <v>31.113623241905493</v>
      </c>
      <c r="Y12" s="128">
        <v>318.67200792401798</v>
      </c>
      <c r="Z12" s="3">
        <v>505.06818116131598</v>
      </c>
      <c r="AA12" s="3">
        <v>746.96592697099902</v>
      </c>
      <c r="AB12" s="3">
        <v>318.67200792401798</v>
      </c>
      <c r="AC12" s="3">
        <v>505.06818116131598</v>
      </c>
      <c r="AD12" s="3">
        <v>746.96592697099902</v>
      </c>
      <c r="AE12" s="92" t="s">
        <v>32</v>
      </c>
      <c r="AF12" s="95">
        <v>182.48945071845199</v>
      </c>
      <c r="AG12" s="95">
        <v>283.050515862346</v>
      </c>
      <c r="AH12" s="95">
        <v>436.08095780620698</v>
      </c>
      <c r="AI12" s="95">
        <v>493.275407151286</v>
      </c>
      <c r="AJ12" s="95">
        <v>579.08872058498798</v>
      </c>
      <c r="AK12" s="96">
        <v>754.60341082685102</v>
      </c>
    </row>
    <row r="13" spans="1:37" ht="16.2" x14ac:dyDescent="0.3">
      <c r="A13" s="109" t="s">
        <v>41</v>
      </c>
      <c r="B13" s="95" t="s">
        <v>328</v>
      </c>
      <c r="C13" s="171" t="s">
        <v>50</v>
      </c>
      <c r="D13" s="4">
        <v>2.8751700000000002</v>
      </c>
      <c r="E13" s="16">
        <v>1.8162245521840001E-3</v>
      </c>
      <c r="F13" s="7" t="s">
        <v>50</v>
      </c>
      <c r="G13" s="3" t="s">
        <v>129</v>
      </c>
      <c r="H13" s="7">
        <v>12</v>
      </c>
      <c r="I13" s="98">
        <v>1.3</v>
      </c>
      <c r="J13" s="147" t="s">
        <v>50</v>
      </c>
      <c r="K13" s="92" t="s">
        <v>30</v>
      </c>
      <c r="L13" s="139" t="s">
        <v>50</v>
      </c>
      <c r="M13" s="137">
        <v>56.467965372482297</v>
      </c>
      <c r="N13" s="95">
        <v>56.467965372482297</v>
      </c>
      <c r="O13" s="95">
        <v>56.467965372482297</v>
      </c>
      <c r="P13" s="95">
        <v>56.467965372482297</v>
      </c>
      <c r="Q13" s="95">
        <v>56.467965372482297</v>
      </c>
      <c r="R13" s="95">
        <v>56.467965372482297</v>
      </c>
      <c r="S13" s="95">
        <v>2.5056658195153259</v>
      </c>
      <c r="T13" s="95">
        <v>2.7488117430712511</v>
      </c>
      <c r="U13" s="95">
        <v>3.0487574057087339</v>
      </c>
      <c r="V13" s="95">
        <v>3.3922276705266818</v>
      </c>
      <c r="W13" s="95">
        <v>3.8125007376259488</v>
      </c>
      <c r="X13" s="96">
        <v>6.1413529187087024</v>
      </c>
      <c r="Y13" s="136" t="s">
        <v>261</v>
      </c>
      <c r="Z13" s="7" t="s">
        <v>262</v>
      </c>
      <c r="AA13" s="7" t="s">
        <v>50</v>
      </c>
      <c r="AB13" s="7">
        <v>34</v>
      </c>
      <c r="AC13" s="7">
        <v>300</v>
      </c>
      <c r="AD13" s="7" t="s">
        <v>50</v>
      </c>
      <c r="AE13" s="136" t="s">
        <v>50</v>
      </c>
      <c r="AF13" s="95">
        <v>46.410348257260601</v>
      </c>
      <c r="AG13" s="95">
        <v>60.039617402117798</v>
      </c>
      <c r="AH13" s="95">
        <v>81.019011966525596</v>
      </c>
      <c r="AI13" s="95">
        <v>90.692760566358103</v>
      </c>
      <c r="AJ13" s="95">
        <v>100.861399524883</v>
      </c>
      <c r="AK13" s="96">
        <v>126.94518984715999</v>
      </c>
    </row>
    <row r="14" spans="1:37" x14ac:dyDescent="0.3">
      <c r="A14" s="109" t="s">
        <v>23</v>
      </c>
      <c r="B14" s="95" t="s">
        <v>329</v>
      </c>
      <c r="C14" s="95">
        <v>132.29539622489901</v>
      </c>
      <c r="D14" s="4">
        <v>7.1204900000000002</v>
      </c>
      <c r="E14" s="16">
        <v>2.5397428065815002E-3</v>
      </c>
      <c r="F14" s="7" t="s">
        <v>284</v>
      </c>
      <c r="G14" s="3" t="s">
        <v>129</v>
      </c>
      <c r="H14" s="23">
        <v>5.9250302314758301</v>
      </c>
      <c r="I14" s="4">
        <v>1.8</v>
      </c>
      <c r="J14" s="148">
        <v>0.2948035043668763</v>
      </c>
      <c r="K14" s="92" t="s">
        <v>30</v>
      </c>
      <c r="L14" s="139" t="s">
        <v>50</v>
      </c>
      <c r="M14" s="137">
        <v>58.756490073014596</v>
      </c>
      <c r="N14" s="95">
        <v>81.0004648556489</v>
      </c>
      <c r="O14" s="95">
        <v>81.0004648556489</v>
      </c>
      <c r="P14" s="95">
        <v>81.0004648556489</v>
      </c>
      <c r="Q14" s="95">
        <v>81.0004648556489</v>
      </c>
      <c r="R14" s="95">
        <v>81.0004648556489</v>
      </c>
      <c r="S14" s="95">
        <v>4.039169028759706</v>
      </c>
      <c r="T14" s="95">
        <v>6.5479159583963886</v>
      </c>
      <c r="U14" s="95">
        <v>9.6659099387543694</v>
      </c>
      <c r="V14" s="95">
        <v>10.27239129306191</v>
      </c>
      <c r="W14" s="95">
        <v>10.355071277608522</v>
      </c>
      <c r="X14" s="96">
        <v>10.547435747946308</v>
      </c>
      <c r="Y14" s="128">
        <v>143.04332870333801</v>
      </c>
      <c r="Z14" s="3">
        <v>264.27219539247</v>
      </c>
      <c r="AA14" s="3">
        <v>488.21525354078898</v>
      </c>
      <c r="AB14" s="3">
        <v>143.04332870333801</v>
      </c>
      <c r="AC14" s="3">
        <v>264.27219539247</v>
      </c>
      <c r="AD14" s="3">
        <v>488.21525354078898</v>
      </c>
      <c r="AE14" s="92" t="s">
        <v>33</v>
      </c>
      <c r="AF14" s="95">
        <v>73.247701448761603</v>
      </c>
      <c r="AG14" s="95">
        <v>97.237446637520193</v>
      </c>
      <c r="AH14" s="95">
        <v>126.832623085469</v>
      </c>
      <c r="AI14" s="95">
        <v>140.314737684775</v>
      </c>
      <c r="AJ14" s="95">
        <v>155.88093535873699</v>
      </c>
      <c r="AK14" s="96">
        <v>198.703640109215</v>
      </c>
    </row>
    <row r="15" spans="1:37" x14ac:dyDescent="0.3">
      <c r="A15" s="109" t="s">
        <v>4</v>
      </c>
      <c r="B15" s="95" t="s">
        <v>330</v>
      </c>
      <c r="C15" s="95">
        <v>318.64130290279002</v>
      </c>
      <c r="D15" s="4">
        <v>2.17415</v>
      </c>
      <c r="E15" s="16">
        <v>3.2202596484366E-3</v>
      </c>
      <c r="F15" s="7" t="s">
        <v>285</v>
      </c>
      <c r="G15" s="3" t="s">
        <v>129</v>
      </c>
      <c r="H15" s="23">
        <v>8.5616436004638707</v>
      </c>
      <c r="I15" s="4">
        <v>1.6</v>
      </c>
      <c r="J15" s="148">
        <v>0.303027963571318</v>
      </c>
      <c r="K15" s="92" t="s">
        <v>31</v>
      </c>
      <c r="L15" s="139" t="s">
        <v>50</v>
      </c>
      <c r="M15" s="137">
        <v>0</v>
      </c>
      <c r="N15" s="95">
        <v>21.1379159671595</v>
      </c>
      <c r="O15" s="95">
        <v>86.514729894441501</v>
      </c>
      <c r="P15" s="95">
        <v>96.445507439688996</v>
      </c>
      <c r="Q15" s="95">
        <v>96.445507439688996</v>
      </c>
      <c r="R15" s="95">
        <v>96.445507439688996</v>
      </c>
      <c r="S15" s="95">
        <v>0.15671432971131891</v>
      </c>
      <c r="T15" s="95">
        <v>0.30624802676903706</v>
      </c>
      <c r="U15" s="95">
        <v>0.94657456185729139</v>
      </c>
      <c r="V15" s="95">
        <v>1.2486967564824414</v>
      </c>
      <c r="W15" s="95">
        <v>1.3330658710641905</v>
      </c>
      <c r="X15" s="96">
        <v>1.3741788730884943</v>
      </c>
      <c r="Y15" s="128">
        <v>374.01872307616799</v>
      </c>
      <c r="Z15" s="3">
        <v>827.62652508672898</v>
      </c>
      <c r="AA15" s="3">
        <v>1778.96559521468</v>
      </c>
      <c r="AB15" s="3">
        <v>374.01872307616799</v>
      </c>
      <c r="AC15" s="3">
        <v>827.62652508672898</v>
      </c>
      <c r="AD15" s="3">
        <v>1778.96559521468</v>
      </c>
      <c r="AE15" s="92" t="s">
        <v>206</v>
      </c>
      <c r="AF15" s="95">
        <v>90.301348392828999</v>
      </c>
      <c r="AG15" s="95">
        <v>130.42367188456899</v>
      </c>
      <c r="AH15" s="95">
        <v>185.08210991770099</v>
      </c>
      <c r="AI15" s="95">
        <v>209.984393227064</v>
      </c>
      <c r="AJ15" s="95">
        <v>229.670860979878</v>
      </c>
      <c r="AK15" s="96">
        <v>297.764074509316</v>
      </c>
    </row>
    <row r="16" spans="1:37" x14ac:dyDescent="0.3">
      <c r="A16" s="109" t="s">
        <v>16</v>
      </c>
      <c r="B16" s="95" t="s">
        <v>331</v>
      </c>
      <c r="C16" s="95">
        <v>147.03338943962001</v>
      </c>
      <c r="D16" s="4">
        <v>1.8440000000000001</v>
      </c>
      <c r="E16" s="16">
        <v>3.2846115674992999E-3</v>
      </c>
      <c r="F16" s="7" t="s">
        <v>286</v>
      </c>
      <c r="G16" s="3" t="s">
        <v>129</v>
      </c>
      <c r="H16" s="23">
        <v>3.7223167419433598</v>
      </c>
      <c r="I16" s="4">
        <v>1.6</v>
      </c>
      <c r="J16" s="148">
        <v>0.46641342228454397</v>
      </c>
      <c r="K16" s="92" t="s">
        <v>50</v>
      </c>
      <c r="L16" s="139" t="s">
        <v>34</v>
      </c>
      <c r="M16" s="137">
        <v>0</v>
      </c>
      <c r="N16" s="95">
        <v>0</v>
      </c>
      <c r="O16" s="95">
        <v>0</v>
      </c>
      <c r="P16" s="95">
        <v>0</v>
      </c>
      <c r="Q16" s="95">
        <v>0</v>
      </c>
      <c r="R16" s="95">
        <v>0</v>
      </c>
      <c r="S16" s="95">
        <v>0.79938263578270063</v>
      </c>
      <c r="T16" s="95">
        <v>3.0534301714845387</v>
      </c>
      <c r="U16" s="95">
        <v>9.8379747039159433</v>
      </c>
      <c r="V16" s="95">
        <v>14.672460654610358</v>
      </c>
      <c r="W16" s="95">
        <v>18.688685514843112</v>
      </c>
      <c r="X16" s="96">
        <v>22.165613444251736</v>
      </c>
      <c r="Y16" s="128">
        <v>238.08659941981401</v>
      </c>
      <c r="Z16" s="3">
        <v>379.35102878012202</v>
      </c>
      <c r="AA16" s="3">
        <v>604.42613567579997</v>
      </c>
      <c r="AB16" s="3">
        <v>238.08659941981401</v>
      </c>
      <c r="AC16" s="3">
        <v>379.35102878012202</v>
      </c>
      <c r="AD16" s="3">
        <v>604.42613567579997</v>
      </c>
      <c r="AE16" s="92" t="s">
        <v>206</v>
      </c>
      <c r="AF16" s="95">
        <v>58.836539822529403</v>
      </c>
      <c r="AG16" s="95">
        <v>82.741706402216593</v>
      </c>
      <c r="AH16" s="95">
        <v>125.466688043638</v>
      </c>
      <c r="AI16" s="95">
        <v>146.950474865388</v>
      </c>
      <c r="AJ16" s="95">
        <v>157.70328887276901</v>
      </c>
      <c r="AK16" s="96">
        <v>201.947596553122</v>
      </c>
    </row>
    <row r="17" spans="1:37" x14ac:dyDescent="0.3">
      <c r="A17" s="109" t="s">
        <v>17</v>
      </c>
      <c r="B17" s="95" t="s">
        <v>332</v>
      </c>
      <c r="C17" s="95">
        <v>373.62690705444999</v>
      </c>
      <c r="D17" s="4">
        <v>0.71269399999999994</v>
      </c>
      <c r="E17" s="16">
        <v>3.8802226158114001E-3</v>
      </c>
      <c r="F17" s="7" t="s">
        <v>287</v>
      </c>
      <c r="G17" s="3" t="s">
        <v>129</v>
      </c>
      <c r="H17" s="23">
        <v>1.126953125</v>
      </c>
      <c r="I17" s="4">
        <v>1</v>
      </c>
      <c r="J17" s="148">
        <v>0.14289838815143513</v>
      </c>
      <c r="K17" s="92" t="s">
        <v>35</v>
      </c>
      <c r="L17" s="139" t="s">
        <v>50</v>
      </c>
      <c r="M17" s="137">
        <v>0</v>
      </c>
      <c r="N17" s="95">
        <v>0</v>
      </c>
      <c r="O17" s="95">
        <v>0</v>
      </c>
      <c r="P17" s="95">
        <v>0</v>
      </c>
      <c r="Q17" s="95">
        <v>0</v>
      </c>
      <c r="R17" s="95">
        <v>30.5460688598472</v>
      </c>
      <c r="S17" s="95">
        <v>0.10281339587038098</v>
      </c>
      <c r="T17" s="95">
        <v>0.11252836134984595</v>
      </c>
      <c r="U17" s="95">
        <v>0.20252953013464828</v>
      </c>
      <c r="V17" s="95">
        <v>0.2639032157493707</v>
      </c>
      <c r="W17" s="95">
        <v>0.2923535923173845</v>
      </c>
      <c r="X17" s="96">
        <v>0.58913331778379785</v>
      </c>
      <c r="Y17" s="128">
        <v>360.32125948299301</v>
      </c>
      <c r="Z17" s="3">
        <v>877.62576918693105</v>
      </c>
      <c r="AA17" s="3">
        <v>1895.48085674974</v>
      </c>
      <c r="AB17" s="3">
        <v>360.32125948299301</v>
      </c>
      <c r="AC17" s="3">
        <v>877.62576918693105</v>
      </c>
      <c r="AD17" s="3">
        <v>1895.48085674974</v>
      </c>
      <c r="AE17" s="92" t="s">
        <v>35</v>
      </c>
      <c r="AF17" s="95">
        <v>106.016581491235</v>
      </c>
      <c r="AG17" s="95">
        <v>151.04189395624601</v>
      </c>
      <c r="AH17" s="95">
        <v>243.175452030646</v>
      </c>
      <c r="AI17" s="95">
        <v>290.08587636315201</v>
      </c>
      <c r="AJ17" s="95">
        <v>326.72061271784798</v>
      </c>
      <c r="AK17" s="96">
        <v>447.98308296017802</v>
      </c>
    </row>
    <row r="18" spans="1:37" x14ac:dyDescent="0.3">
      <c r="A18" s="109" t="s">
        <v>18</v>
      </c>
      <c r="B18" s="95" t="s">
        <v>333</v>
      </c>
      <c r="C18" s="95">
        <v>237.986650882151</v>
      </c>
      <c r="D18" s="4">
        <v>2.6302300000000001</v>
      </c>
      <c r="E18" s="16">
        <v>5.1159406074247999E-3</v>
      </c>
      <c r="F18" s="7" t="s">
        <v>288</v>
      </c>
      <c r="G18" s="3" t="s">
        <v>129</v>
      </c>
      <c r="H18" s="23">
        <v>5.3740777969360396</v>
      </c>
      <c r="I18" s="4">
        <v>1.4</v>
      </c>
      <c r="J18" s="148">
        <v>0.54519432210123842</v>
      </c>
      <c r="K18" s="92" t="s">
        <v>50</v>
      </c>
      <c r="L18" s="139" t="s">
        <v>32</v>
      </c>
      <c r="M18" s="137">
        <v>0</v>
      </c>
      <c r="N18" s="95">
        <v>0</v>
      </c>
      <c r="O18" s="95">
        <v>0</v>
      </c>
      <c r="P18" s="95">
        <v>0</v>
      </c>
      <c r="Q18" s="95">
        <v>0</v>
      </c>
      <c r="R18" s="95">
        <v>0</v>
      </c>
      <c r="S18" s="95">
        <v>0.32401585477921208</v>
      </c>
      <c r="T18" s="95">
        <v>4.2428915267088811</v>
      </c>
      <c r="U18" s="95">
        <v>9.2522812832042831</v>
      </c>
      <c r="V18" s="95">
        <v>9.4119052936629117</v>
      </c>
      <c r="W18" s="95">
        <v>9.4970767482474159</v>
      </c>
      <c r="X18" s="96">
        <v>9.6733621782982482</v>
      </c>
      <c r="Y18" s="128">
        <v>420.09324898966798</v>
      </c>
      <c r="Z18" s="3">
        <v>741.36331287751</v>
      </c>
      <c r="AA18" s="3">
        <v>1478.4633083460201</v>
      </c>
      <c r="AB18" s="3">
        <v>420.09324898966798</v>
      </c>
      <c r="AC18" s="3">
        <v>741.36331287751</v>
      </c>
      <c r="AD18" s="3">
        <v>1478.4633083460201</v>
      </c>
      <c r="AE18" s="92" t="s">
        <v>206</v>
      </c>
      <c r="AF18" s="95">
        <v>122.358003507837</v>
      </c>
      <c r="AG18" s="95">
        <v>181.29759240578599</v>
      </c>
      <c r="AH18" s="95">
        <v>248.24423766650801</v>
      </c>
      <c r="AI18" s="95">
        <v>274.155806193378</v>
      </c>
      <c r="AJ18" s="95">
        <v>316.33571836035998</v>
      </c>
      <c r="AK18" s="96">
        <v>381.563865284104</v>
      </c>
    </row>
    <row r="19" spans="1:37" x14ac:dyDescent="0.3">
      <c r="A19" s="109" t="s">
        <v>9</v>
      </c>
      <c r="B19" s="95" t="s">
        <v>334</v>
      </c>
      <c r="C19" s="95">
        <v>277.75076189277098</v>
      </c>
      <c r="D19" s="4">
        <v>2.46333</v>
      </c>
      <c r="E19" s="16">
        <v>5.4570025417987004E-3</v>
      </c>
      <c r="F19" s="7" t="s">
        <v>289</v>
      </c>
      <c r="G19" s="3" t="s">
        <v>129</v>
      </c>
      <c r="H19" s="23">
        <v>1.24435579776764</v>
      </c>
      <c r="I19" s="4">
        <v>2.1</v>
      </c>
      <c r="J19" s="149">
        <v>0.90473506213639077</v>
      </c>
      <c r="K19" s="92" t="s">
        <v>32</v>
      </c>
      <c r="L19" s="139" t="s">
        <v>50</v>
      </c>
      <c r="M19" s="137">
        <v>0</v>
      </c>
      <c r="N19" s="95">
        <v>0</v>
      </c>
      <c r="O19" s="95">
        <v>18.164435946462699</v>
      </c>
      <c r="P19" s="95">
        <v>29.786102552236201</v>
      </c>
      <c r="Q19" s="95">
        <v>29.786102552236201</v>
      </c>
      <c r="R19" s="95">
        <v>29.786102552236201</v>
      </c>
      <c r="S19" s="95">
        <v>6.1182573041770695E-2</v>
      </c>
      <c r="T19" s="95">
        <v>8.6023137948958536E-2</v>
      </c>
      <c r="U19" s="95">
        <v>0.3118656359981245</v>
      </c>
      <c r="V19" s="95">
        <v>0.53453025894293904</v>
      </c>
      <c r="W19" s="95">
        <v>0.88571272836939419</v>
      </c>
      <c r="X19" s="96">
        <v>2.2093094716115784</v>
      </c>
      <c r="Y19" s="128">
        <v>417.93043933819598</v>
      </c>
      <c r="Z19" s="3">
        <v>842.07954741109904</v>
      </c>
      <c r="AA19" s="3">
        <v>1706.69814944722</v>
      </c>
      <c r="AB19" s="3">
        <v>417.93043933819598</v>
      </c>
      <c r="AC19" s="3">
        <v>842.07954741109904</v>
      </c>
      <c r="AD19" s="3">
        <v>1706.69814944722</v>
      </c>
      <c r="AE19" s="92" t="s">
        <v>35</v>
      </c>
      <c r="AF19" s="95">
        <v>111.77243460577201</v>
      </c>
      <c r="AG19" s="95">
        <v>173.25797331627999</v>
      </c>
      <c r="AH19" s="95">
        <v>276.11438837474401</v>
      </c>
      <c r="AI19" s="95">
        <v>314.019141696227</v>
      </c>
      <c r="AJ19" s="95">
        <v>359.35511785909</v>
      </c>
      <c r="AK19" s="96">
        <v>464.27733391985601</v>
      </c>
    </row>
    <row r="20" spans="1:37" x14ac:dyDescent="0.3">
      <c r="A20" s="109" t="s">
        <v>10</v>
      </c>
      <c r="B20" s="95" t="s">
        <v>335</v>
      </c>
      <c r="C20" s="95">
        <v>212.68455045564301</v>
      </c>
      <c r="D20" s="4">
        <v>0.40871300000000005</v>
      </c>
      <c r="E20" s="16">
        <v>6.3506202510991002E-3</v>
      </c>
      <c r="F20" s="7" t="s">
        <v>303</v>
      </c>
      <c r="G20" s="3" t="s">
        <v>122</v>
      </c>
      <c r="H20" s="99" t="s">
        <v>50</v>
      </c>
      <c r="I20" s="97" t="s">
        <v>50</v>
      </c>
      <c r="J20" s="149">
        <v>0.91385634279377559</v>
      </c>
      <c r="K20" s="92" t="s">
        <v>50</v>
      </c>
      <c r="L20" s="139" t="s">
        <v>50</v>
      </c>
      <c r="M20" s="137">
        <v>0</v>
      </c>
      <c r="N20" s="95">
        <v>0</v>
      </c>
      <c r="O20" s="95">
        <v>0</v>
      </c>
      <c r="P20" s="95">
        <v>0</v>
      </c>
      <c r="Q20" s="95">
        <v>0</v>
      </c>
      <c r="R20" s="95">
        <v>0</v>
      </c>
      <c r="S20" s="95">
        <v>7.6103901291599968E-2</v>
      </c>
      <c r="T20" s="95">
        <v>8.0474688402447675E-2</v>
      </c>
      <c r="U20" s="95">
        <v>8.4629420965934496E-2</v>
      </c>
      <c r="V20" s="95">
        <v>8.659883724786023E-2</v>
      </c>
      <c r="W20" s="95">
        <v>8.7424965613286332E-2</v>
      </c>
      <c r="X20" s="96">
        <v>8.9650492588549166E-2</v>
      </c>
      <c r="Y20" s="128">
        <v>280.509283790815</v>
      </c>
      <c r="Z20" s="3">
        <v>538.702189490931</v>
      </c>
      <c r="AA20" s="3">
        <v>1078.41366808506</v>
      </c>
      <c r="AB20" s="3">
        <v>280.509283790815</v>
      </c>
      <c r="AC20" s="3">
        <v>538.702189490931</v>
      </c>
      <c r="AD20" s="3">
        <v>1078.41366808506</v>
      </c>
      <c r="AE20" s="92" t="s">
        <v>32</v>
      </c>
      <c r="AF20" s="95">
        <v>156.020772497541</v>
      </c>
      <c r="AG20" s="95">
        <v>223.45548405619201</v>
      </c>
      <c r="AH20" s="95">
        <v>360.39417428180798</v>
      </c>
      <c r="AI20" s="95">
        <v>426.26432218159198</v>
      </c>
      <c r="AJ20" s="95">
        <v>495.83336310228901</v>
      </c>
      <c r="AK20" s="96">
        <v>696.07126111078196</v>
      </c>
    </row>
    <row r="21" spans="1:37" x14ac:dyDescent="0.3">
      <c r="A21" s="109" t="s">
        <v>11</v>
      </c>
      <c r="B21" s="95" t="s">
        <v>336</v>
      </c>
      <c r="C21" s="95">
        <v>169.98112777681601</v>
      </c>
      <c r="D21" s="4">
        <v>0.74945399999999995</v>
      </c>
      <c r="E21" s="16">
        <v>1.67200172246228E-2</v>
      </c>
      <c r="F21" s="7" t="s">
        <v>303</v>
      </c>
      <c r="G21" s="3" t="s">
        <v>122</v>
      </c>
      <c r="H21" s="99" t="s">
        <v>50</v>
      </c>
      <c r="I21" s="97" t="s">
        <v>50</v>
      </c>
      <c r="J21" s="149">
        <v>0.51355140063963578</v>
      </c>
      <c r="K21" s="92" t="s">
        <v>50</v>
      </c>
      <c r="L21" s="139" t="s">
        <v>50</v>
      </c>
      <c r="M21" s="137">
        <v>0</v>
      </c>
      <c r="N21" s="95">
        <v>0</v>
      </c>
      <c r="O21" s="95">
        <v>0</v>
      </c>
      <c r="P21" s="95">
        <v>0</v>
      </c>
      <c r="Q21" s="95">
        <v>0</v>
      </c>
      <c r="R21" s="95">
        <v>0</v>
      </c>
      <c r="S21" s="95">
        <v>1.0962977792624699E-2</v>
      </c>
      <c r="T21" s="95">
        <v>1.0962977792624699E-2</v>
      </c>
      <c r="U21" s="95">
        <v>1.1108939938890739E-2</v>
      </c>
      <c r="V21" s="95">
        <v>1.1217407249446998E-2</v>
      </c>
      <c r="W21" s="95">
        <v>1.1271918521788021E-2</v>
      </c>
      <c r="X21" s="96">
        <v>1.1271918521788021E-2</v>
      </c>
      <c r="Y21" s="128">
        <v>106.95383805228499</v>
      </c>
      <c r="Z21" s="3">
        <v>233.63374397186101</v>
      </c>
      <c r="AA21" s="3">
        <v>567.79366401263496</v>
      </c>
      <c r="AB21" s="3">
        <v>106.95383805228499</v>
      </c>
      <c r="AC21" s="3">
        <v>233.63374397186101</v>
      </c>
      <c r="AD21" s="3">
        <v>567.79366401263496</v>
      </c>
      <c r="AE21" s="92" t="s">
        <v>30</v>
      </c>
      <c r="AF21" s="95">
        <v>490.356167819988</v>
      </c>
      <c r="AG21" s="95">
        <v>678.32693604910696</v>
      </c>
      <c r="AH21" s="95">
        <v>1117.1244414376599</v>
      </c>
      <c r="AI21" s="95">
        <v>1362.4731516491299</v>
      </c>
      <c r="AJ21" s="95">
        <v>1540.77911787582</v>
      </c>
      <c r="AK21" s="96">
        <v>2216.3372697228901</v>
      </c>
    </row>
    <row r="22" spans="1:37" x14ac:dyDescent="0.3">
      <c r="A22" s="109" t="s">
        <v>6</v>
      </c>
      <c r="B22" s="95" t="s">
        <v>337</v>
      </c>
      <c r="C22" s="95">
        <v>128</v>
      </c>
      <c r="D22" s="4">
        <v>0.63832100000000003</v>
      </c>
      <c r="E22" s="16">
        <v>9.7990091663568996E-3</v>
      </c>
      <c r="F22" s="7" t="s">
        <v>290</v>
      </c>
      <c r="G22" s="3" t="s">
        <v>129</v>
      </c>
      <c r="H22" s="23">
        <v>1.2133550643920901</v>
      </c>
      <c r="I22" s="4">
        <v>2</v>
      </c>
      <c r="J22" s="149">
        <v>0.99820506458583314</v>
      </c>
      <c r="K22" s="92" t="s">
        <v>206</v>
      </c>
      <c r="L22" s="139" t="s">
        <v>50</v>
      </c>
      <c r="M22" s="137">
        <v>0</v>
      </c>
      <c r="N22" s="95">
        <v>0</v>
      </c>
      <c r="O22" s="95">
        <v>0</v>
      </c>
      <c r="P22" s="95">
        <v>0</v>
      </c>
      <c r="Q22" s="95">
        <v>0</v>
      </c>
      <c r="R22" s="95">
        <v>0</v>
      </c>
      <c r="S22" s="95">
        <v>7.1219668082933511E-3</v>
      </c>
      <c r="T22" s="95">
        <v>7.7983764150648654E-3</v>
      </c>
      <c r="U22" s="95">
        <v>1.1319645002578687E-2</v>
      </c>
      <c r="V22" s="95">
        <v>2.2635096510098523E-2</v>
      </c>
      <c r="W22" s="95">
        <v>5.121418910455993E-2</v>
      </c>
      <c r="X22" s="96">
        <v>0.34265201639378934</v>
      </c>
      <c r="Y22" s="128">
        <v>117.042985944234</v>
      </c>
      <c r="Z22" s="3">
        <v>206.86279384199099</v>
      </c>
      <c r="AA22" s="3">
        <v>365.60645364919901</v>
      </c>
      <c r="AB22" s="3">
        <v>117.042985944234</v>
      </c>
      <c r="AC22" s="3">
        <v>206.86279384199099</v>
      </c>
      <c r="AD22" s="3">
        <v>365.60645364919901</v>
      </c>
      <c r="AE22" s="92" t="s">
        <v>30</v>
      </c>
      <c r="AF22" s="95">
        <v>195.80510215713699</v>
      </c>
      <c r="AG22" s="95">
        <v>309.36498233083699</v>
      </c>
      <c r="AH22" s="95">
        <v>483.99247188426398</v>
      </c>
      <c r="AI22" s="95">
        <v>550.601101656938</v>
      </c>
      <c r="AJ22" s="95">
        <v>656.35487213265503</v>
      </c>
      <c r="AK22" s="96">
        <v>881.47857613975702</v>
      </c>
    </row>
    <row r="23" spans="1:37" x14ac:dyDescent="0.3">
      <c r="A23" s="109" t="s">
        <v>12</v>
      </c>
      <c r="B23" s="95" t="s">
        <v>338</v>
      </c>
      <c r="C23" s="95">
        <v>186.477420479231</v>
      </c>
      <c r="D23" s="4">
        <v>0.46207500000000001</v>
      </c>
      <c r="E23" s="16">
        <v>1.00168588195909E-2</v>
      </c>
      <c r="F23" s="7" t="s">
        <v>291</v>
      </c>
      <c r="G23" s="3" t="s">
        <v>129</v>
      </c>
      <c r="H23" s="23">
        <v>1.28837883472443</v>
      </c>
      <c r="I23" s="4">
        <v>2.8</v>
      </c>
      <c r="J23" s="149">
        <v>0.85185028274998542</v>
      </c>
      <c r="K23" s="92" t="s">
        <v>50</v>
      </c>
      <c r="L23" s="139" t="s">
        <v>50</v>
      </c>
      <c r="M23" s="137">
        <v>0</v>
      </c>
      <c r="N23" s="95">
        <v>0</v>
      </c>
      <c r="O23" s="95">
        <v>0</v>
      </c>
      <c r="P23" s="95">
        <v>0</v>
      </c>
      <c r="Q23" s="95">
        <v>0</v>
      </c>
      <c r="R23" s="95">
        <v>0</v>
      </c>
      <c r="S23" s="95">
        <v>1.6951282090299193E-2</v>
      </c>
      <c r="T23" s="95">
        <v>1.7010524134508726E-2</v>
      </c>
      <c r="U23" s="95">
        <v>1.7010524134508726E-2</v>
      </c>
      <c r="V23" s="95">
        <v>2.35771897021925E-2</v>
      </c>
      <c r="W23" s="95">
        <v>6.8292551030845861E-2</v>
      </c>
      <c r="X23" s="96">
        <v>7.5922622519680141E-2</v>
      </c>
      <c r="Y23" s="128">
        <v>247.85238282421699</v>
      </c>
      <c r="Z23" s="3">
        <v>413.392982523059</v>
      </c>
      <c r="AA23" s="3">
        <v>689.44737777226601</v>
      </c>
      <c r="AB23" s="3">
        <v>247.85238282421699</v>
      </c>
      <c r="AC23" s="3">
        <v>413.392982523059</v>
      </c>
      <c r="AD23" s="3">
        <v>689.44737777226601</v>
      </c>
      <c r="AE23" s="92" t="s">
        <v>31</v>
      </c>
      <c r="AF23" s="95">
        <v>190.88595504555801</v>
      </c>
      <c r="AG23" s="95">
        <v>303.646583168061</v>
      </c>
      <c r="AH23" s="95">
        <v>470.55188580220403</v>
      </c>
      <c r="AI23" s="95">
        <v>577.87361741458699</v>
      </c>
      <c r="AJ23" s="95">
        <v>672.45679334435999</v>
      </c>
      <c r="AK23" s="96">
        <v>945.95255906866203</v>
      </c>
    </row>
    <row r="24" spans="1:37" x14ac:dyDescent="0.3">
      <c r="A24" s="109" t="s">
        <v>13</v>
      </c>
      <c r="B24" s="95" t="s">
        <v>339</v>
      </c>
      <c r="C24" s="95">
        <v>195.184631545531</v>
      </c>
      <c r="D24" s="4">
        <v>1.1261700000000001</v>
      </c>
      <c r="E24" s="16">
        <v>1.7536097311226798E-2</v>
      </c>
      <c r="F24" s="7" t="s">
        <v>292</v>
      </c>
      <c r="G24" s="3" t="s">
        <v>129</v>
      </c>
      <c r="H24" s="23">
        <v>1.4666666984558101</v>
      </c>
      <c r="I24" s="4">
        <v>1</v>
      </c>
      <c r="J24" s="148">
        <v>0.18761586588067805</v>
      </c>
      <c r="K24" s="92" t="s">
        <v>50</v>
      </c>
      <c r="L24" s="139" t="s">
        <v>50</v>
      </c>
      <c r="M24" s="137">
        <v>0</v>
      </c>
      <c r="N24" s="95">
        <v>0</v>
      </c>
      <c r="O24" s="95">
        <v>0</v>
      </c>
      <c r="P24" s="95">
        <v>0</v>
      </c>
      <c r="Q24" s="95">
        <v>0</v>
      </c>
      <c r="R24" s="95">
        <v>0</v>
      </c>
      <c r="S24" s="95">
        <v>3.650773061179538E-2</v>
      </c>
      <c r="T24" s="95">
        <v>3.7298503393276498E-2</v>
      </c>
      <c r="U24" s="95">
        <v>3.7862017815707749E-2</v>
      </c>
      <c r="V24" s="95">
        <v>3.8301905376251007E-2</v>
      </c>
      <c r="W24" s="95">
        <v>3.8789818094390097E-2</v>
      </c>
      <c r="X24" s="96">
        <v>4.6076665987858666E-2</v>
      </c>
      <c r="Y24" s="128">
        <v>295.70855496693298</v>
      </c>
      <c r="Z24" s="3">
        <v>507.11232712224</v>
      </c>
      <c r="AA24" s="3">
        <v>747.56662069768095</v>
      </c>
      <c r="AB24" s="3">
        <v>295.70855496693298</v>
      </c>
      <c r="AC24" s="3">
        <v>507.11232712224</v>
      </c>
      <c r="AD24" s="3">
        <v>747.56662069768095</v>
      </c>
      <c r="AE24" s="92" t="s">
        <v>30</v>
      </c>
      <c r="AF24" s="95">
        <v>366.890799174032</v>
      </c>
      <c r="AG24" s="95">
        <v>532.34224190334396</v>
      </c>
      <c r="AH24" s="95">
        <v>788.24773146305495</v>
      </c>
      <c r="AI24" s="95">
        <v>931.28795282121405</v>
      </c>
      <c r="AJ24" s="95">
        <v>1082.0503129558499</v>
      </c>
      <c r="AK24" s="96">
        <v>1559.1240895931601</v>
      </c>
    </row>
    <row r="25" spans="1:37" x14ac:dyDescent="0.3">
      <c r="A25" s="109" t="s">
        <v>14</v>
      </c>
      <c r="B25" s="95" t="s">
        <v>340</v>
      </c>
      <c r="C25" s="95">
        <v>210.096612540671</v>
      </c>
      <c r="D25" s="4">
        <v>0.70263599999999993</v>
      </c>
      <c r="E25" s="16">
        <v>1.0608506334761099E-2</v>
      </c>
      <c r="F25" s="7" t="s">
        <v>292</v>
      </c>
      <c r="G25" s="3" t="s">
        <v>129</v>
      </c>
      <c r="H25" s="23">
        <v>2.7868852615356401</v>
      </c>
      <c r="I25" s="4">
        <v>1.2</v>
      </c>
      <c r="J25" s="148">
        <v>0</v>
      </c>
      <c r="K25" s="92" t="s">
        <v>35</v>
      </c>
      <c r="L25" s="139" t="s">
        <v>50</v>
      </c>
      <c r="M25" s="137">
        <v>0</v>
      </c>
      <c r="N25" s="95">
        <v>0</v>
      </c>
      <c r="O25" s="95">
        <v>0</v>
      </c>
      <c r="P25" s="95">
        <v>0</v>
      </c>
      <c r="Q25" s="95">
        <v>0</v>
      </c>
      <c r="R25" s="95">
        <v>2.5774369659396901</v>
      </c>
      <c r="S25" s="95">
        <v>5.02909903884384E-2</v>
      </c>
      <c r="T25" s="95">
        <v>9.185435045539056E-2</v>
      </c>
      <c r="U25" s="95">
        <v>0.27156843899213251</v>
      </c>
      <c r="V25" s="95">
        <v>0.52921241454344503</v>
      </c>
      <c r="W25" s="95">
        <v>0.87231239506119818</v>
      </c>
      <c r="X25" s="96">
        <v>0.96151196953037699</v>
      </c>
      <c r="Y25" s="128">
        <v>530.32655941708003</v>
      </c>
      <c r="Z25" s="3">
        <v>732.95979062839297</v>
      </c>
      <c r="AA25" s="3">
        <v>1012.98408663825</v>
      </c>
      <c r="AB25" s="3">
        <v>530.32655941708003</v>
      </c>
      <c r="AC25" s="3">
        <v>732.95979062839297</v>
      </c>
      <c r="AD25" s="3">
        <v>1012.98408663825</v>
      </c>
      <c r="AE25" s="92" t="s">
        <v>35</v>
      </c>
      <c r="AF25" s="95">
        <v>132.64710350681199</v>
      </c>
      <c r="AG25" s="95">
        <v>200.119378491334</v>
      </c>
      <c r="AH25" s="95">
        <v>299.78475865686198</v>
      </c>
      <c r="AI25" s="95">
        <v>349.943254373466</v>
      </c>
      <c r="AJ25" s="95">
        <v>410.34199234563999</v>
      </c>
      <c r="AK25" s="96">
        <v>562.54234753856201</v>
      </c>
    </row>
    <row r="26" spans="1:37" x14ac:dyDescent="0.3">
      <c r="A26" s="109" t="s">
        <v>15</v>
      </c>
      <c r="B26" s="95" t="s">
        <v>341</v>
      </c>
      <c r="C26" s="95">
        <v>236.16254501611101</v>
      </c>
      <c r="D26" s="4">
        <v>1.08274</v>
      </c>
      <c r="E26" s="16">
        <v>1.5566913048002E-2</v>
      </c>
      <c r="F26" s="7" t="s">
        <v>292</v>
      </c>
      <c r="G26" s="3" t="s">
        <v>129</v>
      </c>
      <c r="H26" s="23">
        <v>2.2178218364715598</v>
      </c>
      <c r="I26" s="4">
        <v>1.7</v>
      </c>
      <c r="J26" s="148">
        <v>0</v>
      </c>
      <c r="K26" s="92" t="s">
        <v>50</v>
      </c>
      <c r="L26" s="139" t="s">
        <v>50</v>
      </c>
      <c r="M26" s="137">
        <v>0</v>
      </c>
      <c r="N26" s="95">
        <v>0</v>
      </c>
      <c r="O26" s="95">
        <v>0</v>
      </c>
      <c r="P26" s="95">
        <v>0</v>
      </c>
      <c r="Q26" s="95">
        <v>0</v>
      </c>
      <c r="R26" s="95">
        <v>0</v>
      </c>
      <c r="S26" s="95">
        <v>3.2941563461441524E-2</v>
      </c>
      <c r="T26" s="95">
        <v>4.1885342811907013E-2</v>
      </c>
      <c r="U26" s="95">
        <v>5.9690145596522984E-2</v>
      </c>
      <c r="V26" s="95">
        <v>6.0265327800435926E-2</v>
      </c>
      <c r="W26" s="95">
        <v>6.4137052921130464E-2</v>
      </c>
      <c r="X26" s="96">
        <v>7.5764335023376247E-2</v>
      </c>
      <c r="Y26" s="128">
        <v>490.70852093603401</v>
      </c>
      <c r="Z26" s="3">
        <v>722.796392814716</v>
      </c>
      <c r="AA26" s="3">
        <v>1367.2746592231499</v>
      </c>
      <c r="AB26" s="3">
        <v>490.70852093603401</v>
      </c>
      <c r="AC26" s="3">
        <v>722.796392814716</v>
      </c>
      <c r="AD26" s="3">
        <v>1367.2746592231499</v>
      </c>
      <c r="AE26" s="92" t="s">
        <v>32</v>
      </c>
      <c r="AF26" s="95">
        <v>261.24218494817598</v>
      </c>
      <c r="AG26" s="95">
        <v>399.11865450902798</v>
      </c>
      <c r="AH26" s="95">
        <v>651.19289028068704</v>
      </c>
      <c r="AI26" s="95">
        <v>766.52895286565695</v>
      </c>
      <c r="AJ26" s="95">
        <v>944.70717112111697</v>
      </c>
      <c r="AK26" s="96">
        <v>1267.7215804083401</v>
      </c>
    </row>
    <row r="27" spans="1:37" ht="15" thickBot="1" x14ac:dyDescent="0.35">
      <c r="A27" s="110" t="s">
        <v>7</v>
      </c>
      <c r="B27" s="95" t="s">
        <v>342</v>
      </c>
      <c r="C27" s="102">
        <v>200.444472470411</v>
      </c>
      <c r="D27" s="70">
        <v>0.77419199999999999</v>
      </c>
      <c r="E27" s="71">
        <v>1.53101121021577E-2</v>
      </c>
      <c r="F27" s="213" t="s">
        <v>293</v>
      </c>
      <c r="G27" s="100" t="s">
        <v>129</v>
      </c>
      <c r="H27" s="101">
        <v>1.2689805030822801</v>
      </c>
      <c r="I27" s="70">
        <v>1.5</v>
      </c>
      <c r="J27" s="150">
        <v>0.42023621983368192</v>
      </c>
      <c r="K27" s="93" t="s">
        <v>50</v>
      </c>
      <c r="L27" s="140" t="s">
        <v>50</v>
      </c>
      <c r="M27" s="138">
        <v>0</v>
      </c>
      <c r="N27" s="102">
        <v>0</v>
      </c>
      <c r="O27" s="102">
        <v>0</v>
      </c>
      <c r="P27" s="102">
        <v>0</v>
      </c>
      <c r="Q27" s="102">
        <v>0</v>
      </c>
      <c r="R27" s="102">
        <v>0</v>
      </c>
      <c r="S27" s="102">
        <v>3.2782172846070226E-2</v>
      </c>
      <c r="T27" s="102">
        <v>4.0879991477940095E-2</v>
      </c>
      <c r="U27" s="102">
        <v>7.0161222450731212E-2</v>
      </c>
      <c r="V27" s="102">
        <v>7.7417100387662363E-2</v>
      </c>
      <c r="W27" s="102">
        <v>0.10244783923381887</v>
      </c>
      <c r="X27" s="103">
        <v>0.16795491696507711</v>
      </c>
      <c r="Y27" s="130">
        <v>405.044149093285</v>
      </c>
      <c r="Z27" s="100">
        <v>591.02508959116903</v>
      </c>
      <c r="AA27" s="100">
        <v>838.87349397866603</v>
      </c>
      <c r="AB27" s="100">
        <v>405.044149093285</v>
      </c>
      <c r="AC27" s="100">
        <v>591.02508959116903</v>
      </c>
      <c r="AD27" s="100">
        <v>838.87349397866603</v>
      </c>
      <c r="AE27" s="93" t="s">
        <v>32</v>
      </c>
      <c r="AF27" s="102">
        <v>190.553570939145</v>
      </c>
      <c r="AG27" s="102">
        <v>275.83832883877199</v>
      </c>
      <c r="AH27" s="102">
        <v>439.669775697945</v>
      </c>
      <c r="AI27" s="102">
        <v>516.67848212160197</v>
      </c>
      <c r="AJ27" s="102">
        <v>557.29131989834104</v>
      </c>
      <c r="AK27" s="103">
        <v>765.70488965789798</v>
      </c>
    </row>
    <row r="28" spans="1:37" s="53" customFormat="1" ht="118.2" customHeight="1" thickBot="1" x14ac:dyDescent="0.35">
      <c r="A28" s="219" t="s">
        <v>304</v>
      </c>
      <c r="B28" s="220"/>
      <c r="C28" s="220"/>
      <c r="D28" s="220"/>
      <c r="E28" s="220"/>
      <c r="F28" s="220"/>
      <c r="G28" s="220"/>
      <c r="H28" s="220"/>
      <c r="I28" s="220"/>
      <c r="J28" s="220"/>
      <c r="K28" s="220"/>
      <c r="L28" s="221"/>
      <c r="M28" s="219" t="s">
        <v>271</v>
      </c>
      <c r="N28" s="220"/>
      <c r="O28" s="220"/>
      <c r="P28" s="220"/>
      <c r="Q28" s="220"/>
      <c r="R28" s="220"/>
      <c r="S28" s="220"/>
      <c r="T28" s="220"/>
      <c r="U28" s="220"/>
      <c r="V28" s="220"/>
      <c r="W28" s="220"/>
      <c r="X28" s="221"/>
      <c r="Y28" s="219" t="s">
        <v>272</v>
      </c>
      <c r="Z28" s="220"/>
      <c r="AA28" s="220"/>
      <c r="AB28" s="220"/>
      <c r="AC28" s="220"/>
      <c r="AD28" s="220"/>
      <c r="AE28" s="220"/>
      <c r="AF28" s="220"/>
      <c r="AG28" s="220"/>
      <c r="AH28" s="220"/>
      <c r="AI28" s="220"/>
      <c r="AJ28" s="220"/>
      <c r="AK28" s="221"/>
    </row>
  </sheetData>
  <mergeCells count="17">
    <mergeCell ref="S1:X1"/>
    <mergeCell ref="M1:R1"/>
    <mergeCell ref="AF1:AK1"/>
    <mergeCell ref="Y1:AA1"/>
    <mergeCell ref="K1:L1"/>
    <mergeCell ref="AE1:AE2"/>
    <mergeCell ref="B1:B2"/>
    <mergeCell ref="K5:L5"/>
    <mergeCell ref="F5:J5"/>
    <mergeCell ref="Y5:AK5"/>
    <mergeCell ref="AB1:AD1"/>
    <mergeCell ref="A1:A2"/>
    <mergeCell ref="C1:J1"/>
    <mergeCell ref="A28:L28"/>
    <mergeCell ref="M28:X28"/>
    <mergeCell ref="M5:X5"/>
    <mergeCell ref="Y28:AK28"/>
  </mergeCells>
  <conditionalFormatting sqref="F5">
    <cfRule type="colorScale" priority="9">
      <colorScale>
        <cfvo type="min"/>
        <cfvo type="max"/>
        <color rgb="FFFCFCFF"/>
        <color rgb="FF63BE7B"/>
      </colorScale>
    </cfRule>
  </conditionalFormatting>
  <conditionalFormatting sqref="H3:H4 H6:H27">
    <cfRule type="cellIs" dxfId="29" priority="7" operator="lessThan">
      <formula>3</formula>
    </cfRule>
  </conditionalFormatting>
  <conditionalFormatting sqref="K5">
    <cfRule type="colorScale" priority="1">
      <colorScale>
        <cfvo type="min"/>
        <cfvo type="max"/>
        <color rgb="FFFCFCFF"/>
        <color rgb="FF63BE7B"/>
      </colorScale>
    </cfRule>
  </conditionalFormatting>
  <conditionalFormatting sqref="AF3:AK4 AF6:AK27">
    <cfRule type="expression" dxfId="28" priority="17">
      <formula>AND(NOT(ISBLANK($AD3)),AF3&gt;=$AD3)</formula>
    </cfRule>
    <cfRule type="expression" dxfId="27" priority="18">
      <formula>AND(NOT(ISBLANK($AC3)),AF3&gt;=$AC3)</formula>
    </cfRule>
    <cfRule type="expression" dxfId="26" priority="19">
      <formula>AND(NOT(ISBLANK($AB3)),AF3&gt;=$AB3)</formula>
    </cfRule>
  </conditionalFormatting>
  <conditionalFormatting sqref="AF3:AK4 AF6:AK27">
    <cfRule type="expression" dxfId="25" priority="16">
      <formula>$AC3="---"</formula>
    </cfRule>
  </conditionalFormatting>
  <conditionalFormatting sqref="I3:I4 I6:I27">
    <cfRule type="expression" dxfId="24" priority="37">
      <formula>AND(ISNUMBER(I3),I3&gt;#REF!)</formula>
    </cfRule>
  </conditionalFormatting>
  <conditionalFormatting sqref="S3:X4 S6:X27">
    <cfRule type="colorScale" priority="40">
      <colorScale>
        <cfvo type="min"/>
        <cfvo type="max"/>
        <color rgb="FFFCFCFF"/>
        <color rgb="FFF8696B"/>
      </colorScale>
    </cfRule>
  </conditionalFormatting>
  <conditionalFormatting sqref="M3:R4 M6:R27">
    <cfRule type="colorScale" priority="42">
      <colorScale>
        <cfvo type="min"/>
        <cfvo type="max"/>
        <color rgb="FFFCFCFF"/>
        <color rgb="FF63BE7B"/>
      </colorScale>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48F2A-22AE-4509-A8EF-190860500ACF}">
  <dimension ref="B2:D6"/>
  <sheetViews>
    <sheetView workbookViewId="0">
      <selection activeCell="B3" sqref="B3:D6"/>
    </sheetView>
  </sheetViews>
  <sheetFormatPr defaultRowHeight="14.4" x14ac:dyDescent="0.3"/>
  <cols>
    <col min="2" max="2" width="15.77734375" bestFit="1" customWidth="1"/>
    <col min="3" max="3" width="6.88671875" bestFit="1" customWidth="1"/>
    <col min="4" max="4" width="7.6640625" bestFit="1" customWidth="1"/>
  </cols>
  <sheetData>
    <row r="2" spans="2:4" ht="15" thickBot="1" x14ac:dyDescent="0.35"/>
    <row r="3" spans="2:4" x14ac:dyDescent="0.3">
      <c r="B3" s="214" t="s">
        <v>307</v>
      </c>
      <c r="C3" s="215" t="s">
        <v>308</v>
      </c>
      <c r="D3" s="216" t="s">
        <v>309</v>
      </c>
    </row>
    <row r="4" spans="2:4" x14ac:dyDescent="0.3">
      <c r="B4" s="128" t="s">
        <v>310</v>
      </c>
      <c r="C4" s="3" t="s">
        <v>313</v>
      </c>
      <c r="D4" s="217" t="s">
        <v>316</v>
      </c>
    </row>
    <row r="5" spans="2:4" x14ac:dyDescent="0.3">
      <c r="B5" s="128" t="s">
        <v>311</v>
      </c>
      <c r="C5" s="3" t="s">
        <v>314</v>
      </c>
      <c r="D5" s="217" t="s">
        <v>317</v>
      </c>
    </row>
    <row r="6" spans="2:4" ht="15" thickBot="1" x14ac:dyDescent="0.35">
      <c r="B6" s="130" t="s">
        <v>312</v>
      </c>
      <c r="C6" s="100" t="s">
        <v>315</v>
      </c>
      <c r="D6" s="218" t="s">
        <v>318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867C6-C7AE-4028-9688-7B2628137602}">
  <dimension ref="A1:IO51"/>
  <sheetViews>
    <sheetView zoomScale="85" zoomScaleNormal="85" workbookViewId="0">
      <pane ySplit="5" topLeftCell="A6" activePane="bottomLeft" state="frozenSplit"/>
      <selection activeCell="AJ4" sqref="AJ4"/>
      <selection pane="bottomLeft" activeCell="CG32" sqref="CG32"/>
    </sheetView>
  </sheetViews>
  <sheetFormatPr defaultRowHeight="14.4" x14ac:dyDescent="0.3"/>
  <cols>
    <col min="1" max="1" width="7.33203125" style="18" hidden="1" customWidth="1"/>
    <col min="2" max="2" width="8.33203125" hidden="1" customWidth="1"/>
    <col min="3" max="19" width="7.33203125" style="18" hidden="1" customWidth="1"/>
    <col min="20" max="20" width="8.33203125" hidden="1" customWidth="1"/>
    <col min="21" max="23" width="7.33203125" style="18" hidden="1" customWidth="1"/>
    <col min="24" max="24" width="21.6640625" style="18" hidden="1" customWidth="1"/>
    <col min="25" max="25" width="7.33203125" style="18" hidden="1" customWidth="1"/>
    <col min="26" max="27" width="21.77734375" style="18" hidden="1" customWidth="1"/>
    <col min="28" max="29" width="7.33203125" style="18" hidden="1" customWidth="1"/>
    <col min="30" max="30" width="21.6640625" style="18" hidden="1" customWidth="1"/>
    <col min="31" max="31" width="7.33203125" style="18" hidden="1" customWidth="1"/>
    <col min="32" max="32" width="21.6640625" style="18" hidden="1" customWidth="1"/>
    <col min="33" max="33" width="7.33203125" style="18" hidden="1" customWidth="1"/>
    <col min="34" max="34" width="9.6640625" hidden="1" customWidth="1"/>
    <col min="35" max="36" width="7.33203125" style="18" hidden="1" customWidth="1"/>
    <col min="37" max="37" width="11.21875" style="18" hidden="1" customWidth="1"/>
    <col min="38" max="42" width="7.33203125" style="18" hidden="1" customWidth="1"/>
    <col min="43" max="43" width="9.21875" style="18" hidden="1" customWidth="1"/>
    <col min="44" max="44" width="8.33203125" hidden="1" customWidth="1"/>
    <col min="45" max="45" width="10.6640625" style="18" hidden="1" customWidth="1"/>
    <col min="46" max="46" width="9.5546875" hidden="1" customWidth="1"/>
    <col min="47" max="47" width="7.33203125" style="18" hidden="1" customWidth="1"/>
    <col min="48" max="48" width="18" style="18" hidden="1" customWidth="1"/>
    <col min="49" max="49" width="17.109375" hidden="1" customWidth="1"/>
    <col min="50" max="50" width="33.109375" style="18" hidden="1" customWidth="1"/>
    <col min="51" max="52" width="23" style="18" hidden="1" customWidth="1"/>
    <col min="53" max="53" width="31.88671875" style="18" hidden="1" customWidth="1"/>
    <col min="54" max="54" width="7.33203125" style="18" hidden="1" customWidth="1"/>
    <col min="55" max="55" width="11.88671875" style="18" hidden="1" customWidth="1"/>
    <col min="56" max="56" width="16.77734375" style="18" hidden="1" customWidth="1"/>
    <col min="57" max="57" width="10.88671875" style="18" hidden="1" customWidth="1"/>
    <col min="58" max="58" width="17.44140625" style="18" hidden="1" customWidth="1"/>
    <col min="59" max="59" width="19.5546875" style="18" hidden="1" customWidth="1"/>
    <col min="60" max="60" width="7.33203125" style="18" hidden="1" customWidth="1"/>
    <col min="61" max="61" width="21.6640625" style="18" hidden="1" customWidth="1"/>
    <col min="62" max="62" width="7.33203125" style="18" hidden="1" customWidth="1"/>
    <col min="63" max="63" width="21.6640625" style="18" hidden="1" customWidth="1"/>
    <col min="64" max="64" width="21.6640625" style="37" hidden="1" customWidth="1"/>
    <col min="65" max="65" width="15.21875" style="18" hidden="1" customWidth="1"/>
    <col min="66" max="67" width="7.33203125" style="18" hidden="1" customWidth="1"/>
    <col min="68" max="68" width="18.21875" style="18" hidden="1" customWidth="1"/>
    <col min="69" max="69" width="20.88671875" style="36" hidden="1" customWidth="1"/>
    <col min="70" max="73" width="7.33203125" style="18" hidden="1" customWidth="1"/>
    <col min="74" max="74" width="14.77734375" style="18" hidden="1" customWidth="1"/>
    <col min="75" max="75" width="8.44140625" hidden="1" customWidth="1"/>
    <col min="76" max="76" width="8.33203125" hidden="1" customWidth="1"/>
    <col min="77" max="81" width="14.77734375" style="18" hidden="1" customWidth="1"/>
    <col min="82" max="82" width="3.77734375" style="18" hidden="1" customWidth="1"/>
    <col min="83" max="83" width="5.6640625" customWidth="1"/>
    <col min="84" max="84" width="8.6640625" customWidth="1"/>
    <col min="85" max="85" width="9.6640625" customWidth="1"/>
    <col min="86" max="86" width="6.77734375" style="18" customWidth="1"/>
    <col min="87" max="87" width="5.6640625" style="18" customWidth="1"/>
    <col min="88" max="88" width="9.33203125" customWidth="1"/>
    <col min="89" max="89" width="8.109375" style="18" customWidth="1"/>
    <col min="90" max="90" width="5.5546875" style="18" customWidth="1"/>
    <col min="91" max="91" width="4.33203125" style="18" customWidth="1"/>
    <col min="92" max="92" width="5.5546875" customWidth="1"/>
    <col min="93" max="93" width="8.33203125" style="87" customWidth="1"/>
    <col min="94" max="94" width="8.33203125" style="18" customWidth="1"/>
    <col min="95" max="95" width="5.6640625" bestFit="1" customWidth="1"/>
    <col min="96" max="96" width="8.109375" style="18" customWidth="1"/>
    <col min="97" max="97" width="3.33203125" customWidth="1"/>
    <col min="98" max="98" width="4.109375" customWidth="1"/>
    <col min="99" max="100" width="4.33203125" customWidth="1"/>
    <col min="101" max="102" width="5.33203125" customWidth="1"/>
    <col min="103" max="104" width="3.33203125" customWidth="1"/>
    <col min="105" max="106" width="4.44140625" customWidth="1"/>
    <col min="107" max="108" width="5.33203125" customWidth="1"/>
    <col min="109" max="114" width="6.44140625" hidden="1" customWidth="1"/>
    <col min="115" max="115" width="7.21875" hidden="1" customWidth="1"/>
    <col min="116" max="121" width="5.33203125" hidden="1" customWidth="1"/>
    <col min="122" max="131" width="8.88671875" hidden="1" customWidth="1"/>
    <col min="132" max="144" width="8.88671875" customWidth="1"/>
    <col min="145" max="145" width="5.88671875" customWidth="1"/>
    <col min="146" max="146" width="8.33203125" style="18" customWidth="1"/>
    <col min="147" max="147" width="8" customWidth="1"/>
    <col min="148" max="162" width="5.33203125" customWidth="1"/>
    <col min="163" max="163" width="3.5546875" style="18" customWidth="1"/>
    <col min="164" max="166" width="4.5546875" style="18" customWidth="1"/>
    <col min="167" max="168" width="5.33203125" style="18" customWidth="1"/>
    <col min="169" max="169" width="5.33203125" customWidth="1"/>
    <col min="170" max="170" width="9.88671875" customWidth="1"/>
    <col min="171" max="172" width="14.6640625" style="18" customWidth="1"/>
    <col min="173" max="176" width="8.88671875" style="18" customWidth="1"/>
    <col min="177" max="177" width="5.88671875" customWidth="1"/>
    <col min="178" max="182" width="8.88671875" style="18" customWidth="1"/>
    <col min="183" max="183" width="10.44140625" style="18" customWidth="1"/>
    <col min="184" max="184" width="8.88671875" style="18" customWidth="1"/>
    <col min="185" max="194" width="10.44140625" style="18" customWidth="1"/>
    <col min="195" max="195" width="5.33203125" customWidth="1"/>
    <col min="196" max="196" width="5.6640625" customWidth="1"/>
    <col min="197" max="207" width="5.33203125" customWidth="1"/>
    <col min="208" max="217" width="8.88671875" customWidth="1"/>
  </cols>
  <sheetData>
    <row r="1" spans="1:221" ht="28.2" customHeight="1" thickBot="1" x14ac:dyDescent="0.35">
      <c r="U1" s="225" t="s">
        <v>166</v>
      </c>
      <c r="V1" s="225"/>
      <c r="W1" s="225"/>
      <c r="X1" s="225"/>
      <c r="Y1" s="225"/>
      <c r="Z1" s="225"/>
      <c r="AA1" s="225"/>
      <c r="AB1" s="123"/>
      <c r="AC1" s="225" t="s">
        <v>167</v>
      </c>
      <c r="AD1" s="225"/>
      <c r="AE1" s="225"/>
      <c r="AF1" s="225"/>
      <c r="AG1" s="123"/>
      <c r="AH1" s="123"/>
      <c r="AI1" s="123"/>
      <c r="AJ1" s="123"/>
      <c r="AK1" s="123"/>
      <c r="AL1" s="124"/>
      <c r="AM1" s="124"/>
      <c r="AN1" s="124"/>
      <c r="AO1" s="124"/>
      <c r="AP1" s="124"/>
      <c r="AQ1" s="123"/>
      <c r="AR1" s="123"/>
      <c r="AS1" s="124"/>
      <c r="AT1" s="123"/>
      <c r="AU1" s="123"/>
      <c r="AV1" s="123"/>
      <c r="AW1" s="124"/>
      <c r="AX1" s="123"/>
      <c r="AY1" s="124"/>
      <c r="AZ1" s="124"/>
      <c r="BA1" s="124"/>
      <c r="BB1" s="124"/>
      <c r="BC1" s="125" t="s">
        <v>197</v>
      </c>
      <c r="BD1" s="126">
        <v>1.4</v>
      </c>
      <c r="BE1" s="124"/>
      <c r="BF1" s="124"/>
      <c r="BG1" s="124"/>
      <c r="BH1" s="225"/>
      <c r="BI1" s="225"/>
      <c r="BJ1" s="225"/>
      <c r="BK1" s="225"/>
      <c r="BL1" s="225"/>
      <c r="BM1" s="123"/>
      <c r="BN1" s="225"/>
      <c r="BO1" s="225"/>
      <c r="BP1" s="225"/>
      <c r="BQ1" s="225"/>
      <c r="BR1" s="225"/>
      <c r="BS1" s="225"/>
      <c r="BT1" s="225"/>
      <c r="BU1" s="225"/>
      <c r="BV1" s="123"/>
      <c r="BW1" s="141"/>
      <c r="BX1" s="123"/>
      <c r="BY1" s="141"/>
      <c r="BZ1" s="141"/>
      <c r="CA1" s="141"/>
      <c r="CB1" s="141"/>
      <c r="CC1" s="141"/>
      <c r="CD1" s="141"/>
      <c r="CE1" s="104"/>
      <c r="CF1" s="167"/>
      <c r="CH1" s="188"/>
      <c r="CI1" s="188"/>
      <c r="CJ1" s="188"/>
      <c r="CK1" s="188"/>
      <c r="CL1" s="188"/>
      <c r="CM1" s="188"/>
      <c r="CN1" s="189"/>
      <c r="CO1" s="199"/>
      <c r="CP1" s="187"/>
      <c r="CQ1" s="209"/>
      <c r="CS1" s="200"/>
      <c r="CT1" s="200"/>
      <c r="CU1" s="200"/>
      <c r="CV1" s="200"/>
      <c r="CW1" s="200"/>
      <c r="CX1" s="200"/>
      <c r="CY1" s="200"/>
      <c r="CZ1" s="200"/>
      <c r="DA1" s="200"/>
      <c r="DB1" s="200"/>
      <c r="DC1" s="200"/>
      <c r="DD1" s="207"/>
      <c r="DE1" s="244"/>
      <c r="DF1" s="237"/>
      <c r="DG1" s="237"/>
      <c r="DH1" s="237"/>
      <c r="DI1" s="237"/>
      <c r="DJ1" s="237"/>
      <c r="DK1" s="237"/>
      <c r="DL1" s="237"/>
      <c r="DM1" s="237"/>
      <c r="DN1" s="237"/>
      <c r="DO1" s="237"/>
      <c r="DP1" s="237"/>
      <c r="DQ1" s="245"/>
      <c r="EO1" s="113" t="s">
        <v>205</v>
      </c>
      <c r="EP1" s="114"/>
      <c r="EQ1" s="115"/>
      <c r="ER1" s="115"/>
      <c r="ES1" s="115"/>
      <c r="ET1" s="115"/>
      <c r="EU1" s="115"/>
      <c r="EV1" s="115"/>
      <c r="EW1" s="115"/>
      <c r="EX1" s="115"/>
      <c r="EY1" s="115"/>
      <c r="EZ1" s="115"/>
      <c r="FA1" s="115"/>
      <c r="FB1" s="115"/>
      <c r="FC1" s="115"/>
      <c r="FD1" s="115"/>
      <c r="FE1" s="115"/>
      <c r="FF1" s="116"/>
      <c r="FG1" s="241" t="s">
        <v>256</v>
      </c>
      <c r="FH1" s="242"/>
      <c r="FI1" s="242"/>
      <c r="FJ1" s="242"/>
      <c r="FK1" s="242"/>
      <c r="FL1" s="243"/>
      <c r="FM1" s="21"/>
      <c r="FN1" s="3"/>
      <c r="FO1" s="5"/>
      <c r="FP1" s="5"/>
      <c r="FQ1" s="5"/>
      <c r="FR1" s="5"/>
      <c r="FS1" s="5"/>
      <c r="FT1" s="5"/>
      <c r="FU1" s="5"/>
      <c r="FV1" s="5"/>
      <c r="FW1" s="5"/>
      <c r="FX1" s="5"/>
      <c r="FY1" s="5"/>
      <c r="FZ1" s="5"/>
      <c r="GA1" s="241" t="s">
        <v>257</v>
      </c>
      <c r="GB1" s="242"/>
      <c r="GC1" s="243"/>
      <c r="GD1" s="21"/>
      <c r="GE1" s="21"/>
      <c r="GF1" s="236" t="s">
        <v>67</v>
      </c>
      <c r="GG1" s="236"/>
      <c r="GH1" s="236"/>
      <c r="GI1" s="236"/>
      <c r="GJ1" s="236"/>
      <c r="GK1" s="236"/>
      <c r="GL1" s="21"/>
      <c r="GM1" s="21"/>
      <c r="GN1" s="21"/>
      <c r="GO1" s="236" t="s">
        <v>55</v>
      </c>
      <c r="GP1" s="236"/>
      <c r="GQ1" s="236"/>
      <c r="GR1" s="240" t="s">
        <v>66</v>
      </c>
      <c r="GS1" s="240"/>
      <c r="GT1" s="240"/>
      <c r="GU1" s="240"/>
      <c r="GV1" s="240"/>
      <c r="GW1" s="240"/>
      <c r="GX1" s="21"/>
      <c r="GY1" s="21"/>
    </row>
    <row r="2" spans="1:221" ht="28.2" customHeight="1" thickBot="1" x14ac:dyDescent="0.35">
      <c r="A2" s="122">
        <f>COUNTIF(AB2:ZN4,"data")</f>
        <v>38</v>
      </c>
      <c r="B2" s="123" t="s">
        <v>260</v>
      </c>
      <c r="C2" s="123"/>
      <c r="D2" s="123"/>
      <c r="E2" s="123"/>
      <c r="F2" s="123"/>
      <c r="G2" s="123"/>
      <c r="H2" s="123"/>
      <c r="I2" s="123"/>
      <c r="J2" s="123"/>
      <c r="K2" s="123"/>
      <c r="L2" s="123"/>
      <c r="M2" s="123" t="s">
        <v>260</v>
      </c>
      <c r="N2" s="123"/>
      <c r="O2" s="123"/>
      <c r="P2" s="123"/>
      <c r="Q2" s="123"/>
      <c r="R2" s="123"/>
      <c r="S2" s="123" t="s">
        <v>260</v>
      </c>
      <c r="T2" s="123" t="s">
        <v>260</v>
      </c>
      <c r="U2" s="152" t="s">
        <v>260</v>
      </c>
      <c r="V2" s="152" t="s">
        <v>260</v>
      </c>
      <c r="W2" s="152" t="s">
        <v>260</v>
      </c>
      <c r="X2" s="152" t="s">
        <v>260</v>
      </c>
      <c r="Y2" s="152" t="s">
        <v>260</v>
      </c>
      <c r="Z2" s="152" t="s">
        <v>260</v>
      </c>
      <c r="AA2" s="152" t="s">
        <v>260</v>
      </c>
      <c r="AB2" s="152" t="s">
        <v>260</v>
      </c>
      <c r="AC2" s="152" t="s">
        <v>260</v>
      </c>
      <c r="AD2" s="152" t="s">
        <v>260</v>
      </c>
      <c r="AE2" s="152" t="s">
        <v>260</v>
      </c>
      <c r="AF2" s="152" t="s">
        <v>260</v>
      </c>
      <c r="AG2" s="152" t="s">
        <v>260</v>
      </c>
      <c r="AH2" s="152" t="s">
        <v>260</v>
      </c>
      <c r="AI2" s="152" t="s">
        <v>260</v>
      </c>
      <c r="AJ2" s="152" t="s">
        <v>260</v>
      </c>
      <c r="AK2" s="152" t="s">
        <v>260</v>
      </c>
      <c r="AL2" s="152" t="s">
        <v>260</v>
      </c>
      <c r="AM2" s="152" t="s">
        <v>260</v>
      </c>
      <c r="AN2" s="152" t="s">
        <v>260</v>
      </c>
      <c r="AO2" s="152" t="s">
        <v>260</v>
      </c>
      <c r="AP2" s="152" t="s">
        <v>260</v>
      </c>
      <c r="AQ2" s="152" t="s">
        <v>260</v>
      </c>
      <c r="AR2" s="152" t="s">
        <v>260</v>
      </c>
      <c r="AS2" s="152" t="s">
        <v>260</v>
      </c>
      <c r="AT2" s="152" t="s">
        <v>260</v>
      </c>
      <c r="AU2" s="152" t="s">
        <v>260</v>
      </c>
      <c r="AV2" s="152"/>
      <c r="AW2" s="152" t="s">
        <v>260</v>
      </c>
      <c r="AX2" s="152" t="s">
        <v>260</v>
      </c>
      <c r="AY2" s="152" t="s">
        <v>260</v>
      </c>
      <c r="AZ2" s="153"/>
      <c r="BA2" s="153"/>
      <c r="BB2" s="152" t="s">
        <v>260</v>
      </c>
      <c r="BC2" s="154"/>
      <c r="BD2" s="74"/>
      <c r="BE2" s="152" t="s">
        <v>260</v>
      </c>
      <c r="BF2" s="152" t="s">
        <v>260</v>
      </c>
      <c r="BG2" s="152" t="s">
        <v>260</v>
      </c>
      <c r="BH2" s="152" t="s">
        <v>260</v>
      </c>
      <c r="BI2" s="152"/>
      <c r="BJ2" s="152" t="s">
        <v>260</v>
      </c>
      <c r="BK2" s="152"/>
      <c r="BL2" s="152"/>
      <c r="BM2" s="152" t="s">
        <v>260</v>
      </c>
      <c r="BN2" s="152" t="s">
        <v>260</v>
      </c>
      <c r="BO2" s="152" t="s">
        <v>260</v>
      </c>
      <c r="BP2" s="152"/>
      <c r="BQ2" s="152"/>
      <c r="BR2" s="152" t="s">
        <v>260</v>
      </c>
      <c r="BS2" s="152" t="s">
        <v>260</v>
      </c>
      <c r="BT2" s="152" t="s">
        <v>260</v>
      </c>
      <c r="BU2" s="152" t="s">
        <v>260</v>
      </c>
      <c r="BV2" s="152" t="s">
        <v>260</v>
      </c>
      <c r="BW2" s="156"/>
      <c r="BX2" s="152" t="s">
        <v>260</v>
      </c>
      <c r="BY2" s="156"/>
      <c r="BZ2" s="156"/>
      <c r="CA2" s="156"/>
      <c r="CB2" s="156"/>
      <c r="CC2" s="156"/>
      <c r="CD2" s="156"/>
      <c r="CE2" s="127"/>
      <c r="CF2" s="168"/>
      <c r="CG2" s="190"/>
      <c r="CH2" s="191"/>
      <c r="CI2" s="191"/>
      <c r="CJ2" s="191"/>
      <c r="CK2" s="191"/>
      <c r="CL2" s="191"/>
      <c r="CM2" s="191"/>
      <c r="CN2" s="192"/>
      <c r="CO2" s="143"/>
      <c r="CP2" s="157"/>
      <c r="CQ2" s="210"/>
      <c r="CR2" s="190"/>
      <c r="CS2" s="143"/>
      <c r="CT2" s="134"/>
      <c r="CU2" s="134"/>
      <c r="CV2" s="134"/>
      <c r="CW2" s="134"/>
      <c r="CX2" s="134"/>
      <c r="CY2" s="134"/>
      <c r="CZ2" s="134"/>
      <c r="DA2" s="134"/>
      <c r="DB2" s="134"/>
      <c r="DC2" s="134"/>
      <c r="DD2" s="135"/>
      <c r="DE2" s="143"/>
      <c r="DF2" s="134"/>
      <c r="DG2" s="134"/>
      <c r="DH2" s="134"/>
      <c r="DI2" s="134"/>
      <c r="DJ2" s="134"/>
      <c r="DK2" s="134"/>
      <c r="DL2" s="134"/>
      <c r="DM2" s="134"/>
      <c r="DN2" s="134"/>
      <c r="DO2" s="134"/>
      <c r="DP2" s="134"/>
      <c r="DQ2" s="135"/>
      <c r="EO2" s="158"/>
      <c r="EP2" s="159"/>
      <c r="EQ2" s="115"/>
      <c r="ER2" s="115"/>
      <c r="ES2" s="115"/>
      <c r="ET2" s="115"/>
      <c r="EU2" s="115"/>
      <c r="EV2" s="115"/>
      <c r="EW2" s="115"/>
      <c r="EX2" s="115"/>
      <c r="EY2" s="115"/>
      <c r="EZ2" s="115"/>
      <c r="FA2" s="115"/>
      <c r="FB2" s="115"/>
      <c r="FC2" s="115"/>
      <c r="FD2" s="115"/>
      <c r="FE2" s="115"/>
      <c r="FF2" s="116"/>
      <c r="FG2" s="117"/>
      <c r="FH2" s="118"/>
      <c r="FI2" s="118"/>
      <c r="FJ2" s="118"/>
      <c r="FK2" s="118"/>
      <c r="FL2" s="115"/>
      <c r="FM2" s="21"/>
      <c r="FN2" s="3"/>
      <c r="FO2" s="5"/>
      <c r="FP2" s="5"/>
      <c r="FQ2" s="5"/>
      <c r="FR2" s="5"/>
      <c r="FS2" s="5"/>
      <c r="FT2" s="5"/>
      <c r="FU2" s="160"/>
      <c r="FV2" s="5"/>
      <c r="FW2" s="5"/>
      <c r="FX2" s="5"/>
      <c r="FY2" s="5"/>
      <c r="FZ2" s="5"/>
      <c r="GA2" s="117"/>
      <c r="GB2" s="118"/>
      <c r="GC2" s="115"/>
      <c r="GD2" s="21"/>
      <c r="GE2" s="21"/>
      <c r="GF2" s="21"/>
      <c r="GG2" s="21"/>
      <c r="GH2" s="21"/>
      <c r="GI2" s="21"/>
      <c r="GJ2" s="21"/>
      <c r="GK2" s="21"/>
      <c r="GL2" s="21"/>
      <c r="GM2" s="21"/>
      <c r="GN2" s="21"/>
      <c r="GO2" s="21"/>
      <c r="GP2" s="21"/>
      <c r="GQ2" s="21"/>
      <c r="GR2" s="119"/>
      <c r="GS2" s="119"/>
      <c r="GT2" s="119"/>
      <c r="GU2" s="119"/>
      <c r="GV2" s="119"/>
      <c r="GW2" s="119"/>
      <c r="GX2" s="21"/>
      <c r="GY2" s="21"/>
    </row>
    <row r="3" spans="1:221" ht="28.2" customHeight="1" thickBot="1" x14ac:dyDescent="0.35">
      <c r="A3" s="155">
        <f>COUNTIF(B1:XFD5,"weak")</f>
        <v>6</v>
      </c>
      <c r="B3" s="152"/>
      <c r="C3" s="152"/>
      <c r="D3" s="152"/>
      <c r="E3" s="152"/>
      <c r="F3" s="152"/>
      <c r="G3" s="152"/>
      <c r="H3" s="152"/>
      <c r="I3" s="152"/>
      <c r="J3" s="152"/>
      <c r="K3" s="152"/>
      <c r="L3" s="152"/>
      <c r="M3" s="152"/>
      <c r="N3" s="152"/>
      <c r="O3" s="152"/>
      <c r="P3" s="152"/>
      <c r="Q3" s="152"/>
      <c r="R3" s="152"/>
      <c r="S3" s="152"/>
      <c r="T3" s="152"/>
      <c r="U3" s="152"/>
      <c r="V3" s="152"/>
      <c r="W3" s="152"/>
      <c r="X3" s="152"/>
      <c r="Y3" s="152"/>
      <c r="Z3" s="152"/>
      <c r="AA3" s="152"/>
      <c r="AB3" s="152"/>
      <c r="AC3" s="152"/>
      <c r="AD3" s="152"/>
      <c r="AE3" s="152"/>
      <c r="AF3" s="152"/>
      <c r="AG3" s="152"/>
      <c r="AH3" s="152"/>
      <c r="AI3" s="152"/>
      <c r="AJ3" s="152"/>
      <c r="AK3" s="152"/>
      <c r="AL3" s="153"/>
      <c r="AM3" s="153"/>
      <c r="AN3" s="153"/>
      <c r="AO3" s="153"/>
      <c r="AP3" s="153"/>
      <c r="AQ3" s="152"/>
      <c r="AR3" s="152"/>
      <c r="AS3" s="153"/>
      <c r="AT3" s="152"/>
      <c r="AU3" s="152"/>
      <c r="AV3" s="152" t="s">
        <v>258</v>
      </c>
      <c r="AW3" s="153" t="s">
        <v>259</v>
      </c>
      <c r="AX3" s="152" t="s">
        <v>259</v>
      </c>
      <c r="AY3" s="153" t="s">
        <v>258</v>
      </c>
      <c r="AZ3" s="153"/>
      <c r="BA3" s="153"/>
      <c r="BB3" s="153"/>
      <c r="BC3" s="154"/>
      <c r="BE3" s="153"/>
      <c r="BF3" s="153" t="s">
        <v>259</v>
      </c>
      <c r="BG3" s="153" t="s">
        <v>259</v>
      </c>
      <c r="BH3" s="152"/>
      <c r="BI3" s="152"/>
      <c r="BJ3" s="152"/>
      <c r="BK3" s="152"/>
      <c r="BL3" s="152"/>
      <c r="BM3" s="152" t="s">
        <v>259</v>
      </c>
      <c r="BN3" s="152"/>
      <c r="BO3" s="152"/>
      <c r="BP3" s="152"/>
      <c r="BQ3" s="152" t="s">
        <v>259</v>
      </c>
      <c r="BR3" s="152"/>
      <c r="BS3" s="152"/>
      <c r="BT3" s="152"/>
      <c r="BU3" s="152"/>
      <c r="BV3" s="152"/>
      <c r="BW3" s="156"/>
      <c r="BX3" s="152"/>
      <c r="BY3" s="156"/>
      <c r="BZ3" s="156"/>
      <c r="CA3" s="156"/>
      <c r="CB3" s="156"/>
      <c r="CC3" s="156"/>
      <c r="CD3" s="156"/>
      <c r="CE3" s="127"/>
      <c r="CF3" s="168"/>
      <c r="CG3" s="190"/>
      <c r="CH3" s="191"/>
      <c r="CI3" s="191"/>
      <c r="CJ3" s="191"/>
      <c r="CK3" s="191"/>
      <c r="CL3" s="191"/>
      <c r="CM3" s="191"/>
      <c r="CN3" s="192"/>
      <c r="CO3" s="143"/>
      <c r="CP3" s="157"/>
      <c r="CQ3" s="211"/>
      <c r="CR3" s="212"/>
      <c r="CS3" s="143"/>
      <c r="CT3" s="134"/>
      <c r="CU3" s="134"/>
      <c r="CV3" s="134"/>
      <c r="CW3" s="134"/>
      <c r="CX3" s="134"/>
      <c r="CY3" s="134"/>
      <c r="CZ3" s="134"/>
      <c r="DA3" s="134"/>
      <c r="DB3" s="134"/>
      <c r="DC3" s="134"/>
      <c r="DD3" s="135"/>
      <c r="DE3" s="143"/>
      <c r="DF3" s="134"/>
      <c r="DG3" s="134"/>
      <c r="DH3" s="134"/>
      <c r="DI3" s="134"/>
      <c r="DJ3" s="134"/>
      <c r="DK3" s="134"/>
      <c r="DL3" s="134"/>
      <c r="DM3" s="134"/>
      <c r="DN3" s="134"/>
      <c r="DO3" s="134"/>
      <c r="DP3" s="134"/>
      <c r="DQ3" s="135"/>
      <c r="EO3" s="158"/>
      <c r="EP3" s="159"/>
      <c r="EQ3" s="115"/>
      <c r="ER3" s="115"/>
      <c r="ES3" s="115"/>
      <c r="ET3" s="115"/>
      <c r="EU3" s="115"/>
      <c r="EV3" s="115"/>
      <c r="EW3" s="115"/>
      <c r="EX3" s="115"/>
      <c r="EY3" s="115"/>
      <c r="EZ3" s="115"/>
      <c r="FA3" s="115"/>
      <c r="FB3" s="115"/>
      <c r="FC3" s="115"/>
      <c r="FD3" s="115"/>
      <c r="FE3" s="115"/>
      <c r="FF3" s="116"/>
      <c r="FG3" s="117"/>
      <c r="FH3" s="118"/>
      <c r="FI3" s="118"/>
      <c r="FJ3" s="118"/>
      <c r="FK3" s="118"/>
      <c r="FL3" s="115"/>
      <c r="FM3" s="21"/>
      <c r="FN3" s="3"/>
      <c r="FO3" s="5"/>
      <c r="FP3" s="5"/>
      <c r="FQ3" s="5"/>
      <c r="FR3" s="5"/>
      <c r="FS3" s="5"/>
      <c r="FT3" s="5"/>
      <c r="FU3" s="160"/>
      <c r="FV3" s="5"/>
      <c r="FW3" s="5"/>
      <c r="FX3" s="5"/>
      <c r="FY3" s="5"/>
      <c r="FZ3" s="5"/>
      <c r="GA3" s="117"/>
      <c r="GB3" s="118"/>
      <c r="GC3" s="115"/>
      <c r="GD3" s="21"/>
      <c r="GE3" s="21"/>
      <c r="GF3" s="21"/>
      <c r="GG3" s="21"/>
      <c r="GH3" s="21"/>
      <c r="GI3" s="21"/>
      <c r="GJ3" s="21"/>
      <c r="GK3" s="21"/>
      <c r="GL3" s="21"/>
      <c r="GM3" s="21"/>
      <c r="GN3" s="21"/>
      <c r="GO3" s="21"/>
      <c r="GP3" s="21"/>
      <c r="GQ3" s="21"/>
      <c r="GR3" s="119"/>
      <c r="GS3" s="119"/>
      <c r="GT3" s="119"/>
      <c r="GU3" s="119"/>
      <c r="GV3" s="119"/>
      <c r="GW3" s="119"/>
      <c r="GX3" s="21"/>
      <c r="GY3" s="21"/>
    </row>
    <row r="4" spans="1:221" s="12" customFormat="1" ht="35.4" customHeight="1" x14ac:dyDescent="0.3">
      <c r="A4" s="106" t="s">
        <v>194</v>
      </c>
      <c r="B4" s="106" t="s">
        <v>194</v>
      </c>
      <c r="C4" s="106" t="s">
        <v>194</v>
      </c>
      <c r="D4" s="106" t="s">
        <v>194</v>
      </c>
      <c r="E4" s="106" t="s">
        <v>194</v>
      </c>
      <c r="F4" s="106" t="s">
        <v>194</v>
      </c>
      <c r="G4" s="106" t="s">
        <v>194</v>
      </c>
      <c r="H4" s="106" t="s">
        <v>194</v>
      </c>
      <c r="I4" s="106" t="s">
        <v>194</v>
      </c>
      <c r="J4" s="106" t="s">
        <v>194</v>
      </c>
      <c r="K4" s="106" t="s">
        <v>194</v>
      </c>
      <c r="L4" s="106" t="s">
        <v>194</v>
      </c>
      <c r="M4" s="106" t="s">
        <v>194</v>
      </c>
      <c r="N4" s="106" t="s">
        <v>194</v>
      </c>
      <c r="O4" s="106" t="s">
        <v>194</v>
      </c>
      <c r="P4" s="106" t="s">
        <v>194</v>
      </c>
      <c r="Q4" s="106" t="s">
        <v>194</v>
      </c>
      <c r="R4" s="106" t="s">
        <v>194</v>
      </c>
      <c r="S4" s="106" t="s">
        <v>194</v>
      </c>
      <c r="T4" s="106" t="s">
        <v>194</v>
      </c>
      <c r="U4" s="106" t="s">
        <v>194</v>
      </c>
      <c r="V4" s="106" t="s">
        <v>194</v>
      </c>
      <c r="W4" s="106" t="s">
        <v>194</v>
      </c>
      <c r="X4" s="106" t="s">
        <v>194</v>
      </c>
      <c r="Y4" s="106" t="s">
        <v>194</v>
      </c>
      <c r="Z4" s="106" t="s">
        <v>194</v>
      </c>
      <c r="AA4" s="106" t="s">
        <v>194</v>
      </c>
      <c r="AB4" s="106" t="s">
        <v>194</v>
      </c>
      <c r="AC4" s="106" t="s">
        <v>194</v>
      </c>
      <c r="AD4" s="106" t="s">
        <v>194</v>
      </c>
      <c r="AE4" s="106" t="s">
        <v>194</v>
      </c>
      <c r="AF4" s="106" t="s">
        <v>194</v>
      </c>
      <c r="AG4" s="106" t="s">
        <v>194</v>
      </c>
      <c r="AH4" s="106" t="s">
        <v>194</v>
      </c>
      <c r="AI4" s="106" t="s">
        <v>194</v>
      </c>
      <c r="AJ4" s="106" t="s">
        <v>194</v>
      </c>
      <c r="AK4" s="106" t="s">
        <v>194</v>
      </c>
      <c r="AL4" s="106" t="s">
        <v>194</v>
      </c>
      <c r="AM4" s="106" t="s">
        <v>194</v>
      </c>
      <c r="AN4" s="106" t="s">
        <v>194</v>
      </c>
      <c r="AO4" s="106" t="s">
        <v>194</v>
      </c>
      <c r="AP4" s="106" t="s">
        <v>194</v>
      </c>
      <c r="AQ4" s="106" t="s">
        <v>194</v>
      </c>
      <c r="AR4" s="106" t="s">
        <v>194</v>
      </c>
      <c r="AS4" s="106" t="s">
        <v>194</v>
      </c>
      <c r="AT4" s="106" t="s">
        <v>194</v>
      </c>
      <c r="AU4" s="106" t="s">
        <v>194</v>
      </c>
      <c r="AV4" s="106" t="s">
        <v>190</v>
      </c>
      <c r="AW4" s="106" t="s">
        <v>194</v>
      </c>
      <c r="AX4" s="106" t="s">
        <v>194</v>
      </c>
      <c r="AY4" s="106" t="s">
        <v>194</v>
      </c>
      <c r="AZ4" s="106"/>
      <c r="BA4" s="106" t="s">
        <v>198</v>
      </c>
      <c r="BB4" s="106" t="s">
        <v>194</v>
      </c>
      <c r="BC4" s="106" t="s">
        <v>187</v>
      </c>
      <c r="BD4" s="106" t="str">
        <f>CONCATENATE("Is the rounded incision less than or greater than ",BD1)</f>
        <v>Is the rounded incision less than or greater than 1.4</v>
      </c>
      <c r="BE4" s="106" t="s">
        <v>194</v>
      </c>
      <c r="BF4" s="106" t="s">
        <v>194</v>
      </c>
      <c r="BG4" s="106" t="s">
        <v>194</v>
      </c>
      <c r="BH4" s="106" t="s">
        <v>194</v>
      </c>
      <c r="BI4" s="106" t="s">
        <v>195</v>
      </c>
      <c r="BJ4" s="106" t="s">
        <v>194</v>
      </c>
      <c r="BK4" s="106" t="s">
        <v>196</v>
      </c>
      <c r="BL4" s="106" t="s">
        <v>189</v>
      </c>
      <c r="BM4" s="106" t="s">
        <v>199</v>
      </c>
      <c r="BN4" s="106" t="s">
        <v>194</v>
      </c>
      <c r="BO4" s="106" t="s">
        <v>194</v>
      </c>
      <c r="BP4" s="106" t="s">
        <v>191</v>
      </c>
      <c r="BQ4" s="106" t="s">
        <v>193</v>
      </c>
      <c r="BR4" s="106" t="s">
        <v>194</v>
      </c>
      <c r="BS4" s="106" t="s">
        <v>194</v>
      </c>
      <c r="BT4" s="106" t="s">
        <v>194</v>
      </c>
      <c r="BU4" s="106" t="s">
        <v>194</v>
      </c>
      <c r="BV4" s="106" t="s">
        <v>194</v>
      </c>
      <c r="BW4" s="174"/>
      <c r="BX4" s="106" t="s">
        <v>194</v>
      </c>
      <c r="BY4" s="174"/>
      <c r="BZ4" s="174"/>
      <c r="CA4" s="174"/>
      <c r="CB4" s="174"/>
      <c r="CC4" s="174"/>
      <c r="CD4" s="174"/>
      <c r="CE4" s="196" t="s">
        <v>8</v>
      </c>
      <c r="CF4" s="172" t="s">
        <v>275</v>
      </c>
      <c r="CG4" s="193" t="s">
        <v>247</v>
      </c>
      <c r="CH4" s="194"/>
      <c r="CI4" s="194"/>
      <c r="CJ4" s="194"/>
      <c r="CK4" s="194"/>
      <c r="CL4" s="194"/>
      <c r="CM4" s="194"/>
      <c r="CN4" s="195"/>
      <c r="CO4" s="201" t="s">
        <v>263</v>
      </c>
      <c r="CP4" s="202"/>
      <c r="CQ4" s="246" t="s">
        <v>8</v>
      </c>
      <c r="CR4" s="250" t="s">
        <v>244</v>
      </c>
      <c r="CS4" s="248" t="s">
        <v>250</v>
      </c>
      <c r="CT4" s="230"/>
      <c r="CU4" s="230"/>
      <c r="CV4" s="230"/>
      <c r="CW4" s="230"/>
      <c r="CX4" s="231"/>
      <c r="CY4" s="248" t="s">
        <v>251</v>
      </c>
      <c r="CZ4" s="230"/>
      <c r="DA4" s="230"/>
      <c r="DB4" s="230"/>
      <c r="DC4" s="230"/>
      <c r="DD4" s="231"/>
      <c r="DE4" s="249" t="s">
        <v>252</v>
      </c>
      <c r="DF4" s="226"/>
      <c r="DG4" s="226"/>
      <c r="DH4" s="226" t="s">
        <v>252</v>
      </c>
      <c r="DI4" s="226"/>
      <c r="DJ4" s="226"/>
      <c r="DK4" s="233" t="s">
        <v>51</v>
      </c>
      <c r="DL4" s="226" t="s">
        <v>249</v>
      </c>
      <c r="DM4" s="226"/>
      <c r="DN4" s="226"/>
      <c r="DO4" s="226"/>
      <c r="DP4" s="226"/>
      <c r="DQ4" s="234"/>
      <c r="EO4" s="108" t="s">
        <v>8</v>
      </c>
      <c r="EP4" s="166" t="s">
        <v>53</v>
      </c>
      <c r="EQ4" s="73"/>
      <c r="ER4" s="73"/>
      <c r="ES4" s="73"/>
      <c r="ET4" s="73"/>
      <c r="EU4" s="73"/>
      <c r="EV4" s="73"/>
      <c r="EW4" s="73"/>
      <c r="EX4" s="73"/>
      <c r="EY4" s="73"/>
      <c r="EZ4" s="73"/>
      <c r="FA4" s="73"/>
      <c r="FB4" s="73"/>
      <c r="FC4" s="73"/>
      <c r="FD4" s="73"/>
      <c r="FE4" s="73"/>
      <c r="FF4" s="24"/>
      <c r="FG4" s="175"/>
      <c r="FH4" s="176"/>
      <c r="FI4" s="176"/>
      <c r="FJ4" s="176"/>
      <c r="FK4" s="176"/>
      <c r="FL4" s="73"/>
      <c r="FM4" s="13"/>
      <c r="FN4" s="2"/>
      <c r="FO4" s="2"/>
      <c r="FP4" s="2"/>
      <c r="FQ4" s="2"/>
      <c r="FR4" s="2"/>
      <c r="FS4" s="2"/>
      <c r="FT4" s="2"/>
      <c r="FU4" s="177" t="s">
        <v>8</v>
      </c>
      <c r="FV4" s="2"/>
      <c r="FW4" s="2"/>
      <c r="FX4" s="2"/>
      <c r="FY4" s="2"/>
      <c r="FZ4" s="2"/>
      <c r="GA4" s="175"/>
      <c r="GB4" s="176"/>
      <c r="GC4" s="73"/>
      <c r="GD4" s="13"/>
      <c r="GE4" s="13"/>
      <c r="GF4" s="13"/>
      <c r="GG4" s="13"/>
      <c r="GH4" s="13"/>
      <c r="GI4" s="13"/>
      <c r="GJ4" s="13"/>
      <c r="GK4" s="13"/>
      <c r="GL4" s="13"/>
      <c r="GM4" s="13"/>
      <c r="GN4" s="13"/>
      <c r="GO4" s="13"/>
      <c r="GP4" s="13"/>
      <c r="GQ4" s="13"/>
      <c r="GR4" s="178"/>
      <c r="GS4" s="178"/>
      <c r="GT4" s="178"/>
      <c r="GU4" s="178"/>
      <c r="GV4" s="178"/>
      <c r="GW4" s="178"/>
      <c r="GX4" s="13"/>
      <c r="GY4" s="13"/>
      <c r="HE4" s="12">
        <f>SUM(HE5:HE30)</f>
        <v>8</v>
      </c>
      <c r="HF4" s="12">
        <f>SUM(HF5:HF30)</f>
        <v>10</v>
      </c>
      <c r="HG4" s="12">
        <f>SUM(HG5:HG30)</f>
        <v>9</v>
      </c>
      <c r="HH4" s="12">
        <f>COUNTIF(HH9:HH30,2)</f>
        <v>3</v>
      </c>
      <c r="HI4" s="12">
        <f>SUM(HI5:HI30)</f>
        <v>7</v>
      </c>
      <c r="HK4" s="12" t="s">
        <v>253</v>
      </c>
      <c r="HL4" s="12">
        <v>1.4</v>
      </c>
    </row>
    <row r="5" spans="1:221" s="12" customFormat="1" ht="28.8" customHeight="1" x14ac:dyDescent="0.3">
      <c r="A5" s="111" t="s">
        <v>115</v>
      </c>
      <c r="B5" s="106" t="s">
        <v>103</v>
      </c>
      <c r="C5" s="106" t="s">
        <v>136</v>
      </c>
      <c r="D5" s="106" t="s">
        <v>137</v>
      </c>
      <c r="E5" s="106" t="s">
        <v>140</v>
      </c>
      <c r="F5" s="106" t="s">
        <v>141</v>
      </c>
      <c r="G5" s="106" t="s">
        <v>144</v>
      </c>
      <c r="H5" s="106" t="s">
        <v>145</v>
      </c>
      <c r="I5" s="106" t="s">
        <v>148</v>
      </c>
      <c r="J5" s="106" t="s">
        <v>149</v>
      </c>
      <c r="K5" s="106" t="s">
        <v>152</v>
      </c>
      <c r="L5" s="106" t="s">
        <v>153</v>
      </c>
      <c r="M5" s="106" t="s">
        <v>134</v>
      </c>
      <c r="N5" s="106" t="s">
        <v>135</v>
      </c>
      <c r="O5" s="106" t="s">
        <v>142</v>
      </c>
      <c r="P5" s="106" t="s">
        <v>143</v>
      </c>
      <c r="Q5" s="106" t="s">
        <v>146</v>
      </c>
      <c r="R5" s="106" t="s">
        <v>147</v>
      </c>
      <c r="S5" s="106" t="s">
        <v>71</v>
      </c>
      <c r="T5" s="106" t="s">
        <v>118</v>
      </c>
      <c r="U5" s="106" t="s">
        <v>156</v>
      </c>
      <c r="V5" s="106" t="s">
        <v>157</v>
      </c>
      <c r="W5" s="106" t="s">
        <v>158</v>
      </c>
      <c r="X5" s="106" t="str">
        <f>CONCATENATE(W5,"_fraction")</f>
        <v>bank_revetment_length_left_fraction</v>
      </c>
      <c r="Y5" s="106" t="s">
        <v>159</v>
      </c>
      <c r="Z5" s="106" t="str">
        <f>CONCATENATE(Y5,"_fraction")</f>
        <v>bank_revetment_length_right_fraction</v>
      </c>
      <c r="AA5" s="106" t="s">
        <v>165</v>
      </c>
      <c r="AB5" s="106" t="s">
        <v>154</v>
      </c>
      <c r="AC5" s="106" t="s">
        <v>150</v>
      </c>
      <c r="AD5" s="106" t="str">
        <f>CONCATENATE(AC5,"_fraction")</f>
        <v>development_length_one_side_fraction</v>
      </c>
      <c r="AE5" s="106" t="s">
        <v>151</v>
      </c>
      <c r="AF5" s="106" t="str">
        <f>CONCATENATE(AE5,"_fraction")</f>
        <v>development_length_both_sides_fraction</v>
      </c>
      <c r="AG5" s="106" t="s">
        <v>133</v>
      </c>
      <c r="AH5" s="106" t="s">
        <v>105</v>
      </c>
      <c r="AI5" s="106" t="s">
        <v>117</v>
      </c>
      <c r="AJ5" s="106" t="s">
        <v>102</v>
      </c>
      <c r="AK5" s="106" t="s">
        <v>104</v>
      </c>
      <c r="AL5" s="106" t="s">
        <v>79</v>
      </c>
      <c r="AM5" s="106" t="s">
        <v>74</v>
      </c>
      <c r="AN5" s="106" t="s">
        <v>75</v>
      </c>
      <c r="AO5" s="106" t="s">
        <v>76</v>
      </c>
      <c r="AP5" s="106" t="s">
        <v>77</v>
      </c>
      <c r="AQ5" s="106" t="s">
        <v>182</v>
      </c>
      <c r="AR5" s="106" t="s">
        <v>116</v>
      </c>
      <c r="AS5" s="106" t="s">
        <v>49</v>
      </c>
      <c r="AT5" s="106" t="s">
        <v>106</v>
      </c>
      <c r="AU5" s="106" t="s">
        <v>110</v>
      </c>
      <c r="AV5" s="106" t="s">
        <v>170</v>
      </c>
      <c r="AW5" s="106" t="s">
        <v>70</v>
      </c>
      <c r="AX5" s="106" t="s">
        <v>107</v>
      </c>
      <c r="AY5" s="106" t="s">
        <v>100</v>
      </c>
      <c r="AZ5" s="106" t="s">
        <v>237</v>
      </c>
      <c r="BA5" s="106" t="s">
        <v>186</v>
      </c>
      <c r="BB5" s="106" t="s">
        <v>101</v>
      </c>
      <c r="BC5" s="106" t="s">
        <v>185</v>
      </c>
      <c r="BD5" s="106" t="str">
        <f>CONCATENATE("rounded IR&gt;=",BD1)</f>
        <v>rounded IR&gt;=1.4</v>
      </c>
      <c r="BE5" s="106" t="s">
        <v>73</v>
      </c>
      <c r="BF5" s="106" t="s">
        <v>78</v>
      </c>
      <c r="BG5" s="106" t="s">
        <v>72</v>
      </c>
      <c r="BH5" s="106" t="s">
        <v>138</v>
      </c>
      <c r="BI5" s="106" t="str">
        <f>CONCATENATE(BH5,"_fraction")</f>
        <v>road_length_one_side_fraction</v>
      </c>
      <c r="BJ5" s="106" t="s">
        <v>139</v>
      </c>
      <c r="BK5" s="106" t="str">
        <f>CONCATENATE(BJ5,"_fraction")</f>
        <v>road_length_both_sides_fraction</v>
      </c>
      <c r="BL5" s="179" t="s">
        <v>188</v>
      </c>
      <c r="BM5" s="106" t="s">
        <v>155</v>
      </c>
      <c r="BN5" s="106" t="s">
        <v>109</v>
      </c>
      <c r="BO5" s="106" t="s">
        <v>108</v>
      </c>
      <c r="BP5" s="106" t="s">
        <v>169</v>
      </c>
      <c r="BQ5" s="106" t="s">
        <v>192</v>
      </c>
      <c r="BR5" s="106" t="s">
        <v>111</v>
      </c>
      <c r="BS5" s="106" t="s">
        <v>112</v>
      </c>
      <c r="BT5" s="106" t="s">
        <v>113</v>
      </c>
      <c r="BU5" s="106" t="s">
        <v>114</v>
      </c>
      <c r="BV5" s="180" t="s">
        <v>68</v>
      </c>
      <c r="BW5" s="106" t="s">
        <v>264</v>
      </c>
      <c r="BX5" s="106" t="s">
        <v>69</v>
      </c>
      <c r="BY5" s="181"/>
      <c r="BZ5" s="181"/>
      <c r="CA5" s="181"/>
      <c r="CB5" s="181"/>
      <c r="CC5" s="181"/>
      <c r="CD5" s="181"/>
      <c r="CE5" s="197"/>
      <c r="CF5" s="173"/>
      <c r="CG5" s="169" t="s">
        <v>276</v>
      </c>
      <c r="CH5" s="106" t="s">
        <v>52</v>
      </c>
      <c r="CI5" s="106" t="s">
        <v>54</v>
      </c>
      <c r="CJ5" s="106" t="s">
        <v>277</v>
      </c>
      <c r="CK5" s="106" t="s">
        <v>244</v>
      </c>
      <c r="CL5" s="106" t="s">
        <v>246</v>
      </c>
      <c r="CM5" s="106" t="s">
        <v>245</v>
      </c>
      <c r="CN5" s="107" t="s">
        <v>248</v>
      </c>
      <c r="CO5" s="144" t="s">
        <v>242</v>
      </c>
      <c r="CP5" s="174" t="s">
        <v>243</v>
      </c>
      <c r="CQ5" s="247"/>
      <c r="CR5" s="251"/>
      <c r="CS5" s="111" t="s">
        <v>30</v>
      </c>
      <c r="CT5" s="106" t="s">
        <v>31</v>
      </c>
      <c r="CU5" s="106" t="s">
        <v>32</v>
      </c>
      <c r="CV5" s="106" t="s">
        <v>33</v>
      </c>
      <c r="CW5" s="106" t="s">
        <v>34</v>
      </c>
      <c r="CX5" s="107" t="s">
        <v>35</v>
      </c>
      <c r="CY5" s="111" t="s">
        <v>30</v>
      </c>
      <c r="CZ5" s="106" t="s">
        <v>31</v>
      </c>
      <c r="DA5" s="106" t="s">
        <v>32</v>
      </c>
      <c r="DB5" s="106" t="s">
        <v>33</v>
      </c>
      <c r="DC5" s="106" t="s">
        <v>34</v>
      </c>
      <c r="DD5" s="107" t="s">
        <v>35</v>
      </c>
      <c r="DE5" s="144" t="s">
        <v>56</v>
      </c>
      <c r="DF5" s="106" t="s">
        <v>57</v>
      </c>
      <c r="DG5" s="106" t="s">
        <v>58</v>
      </c>
      <c r="DH5" s="106" t="s">
        <v>56</v>
      </c>
      <c r="DI5" s="106" t="s">
        <v>57</v>
      </c>
      <c r="DJ5" s="106" t="s">
        <v>58</v>
      </c>
      <c r="DK5" s="235"/>
      <c r="DL5" s="106" t="s">
        <v>30</v>
      </c>
      <c r="DM5" s="106" t="s">
        <v>31</v>
      </c>
      <c r="DN5" s="106" t="s">
        <v>32</v>
      </c>
      <c r="DO5" s="106" t="s">
        <v>33</v>
      </c>
      <c r="DP5" s="106" t="s">
        <v>34</v>
      </c>
      <c r="DQ5" s="107" t="s">
        <v>35</v>
      </c>
      <c r="DS5" s="18" t="s">
        <v>274</v>
      </c>
      <c r="DT5" s="18" t="s">
        <v>273</v>
      </c>
      <c r="EO5" s="108"/>
      <c r="EP5" s="111"/>
      <c r="EQ5" s="73"/>
      <c r="ER5" s="116" t="s">
        <v>185</v>
      </c>
      <c r="ES5" s="116" t="s">
        <v>100</v>
      </c>
      <c r="ET5" s="116" t="s">
        <v>186</v>
      </c>
      <c r="EU5" s="182" t="s">
        <v>8</v>
      </c>
      <c r="EV5" s="116" t="s">
        <v>52</v>
      </c>
      <c r="EW5" s="116" t="s">
        <v>54</v>
      </c>
      <c r="EX5" s="116" t="s">
        <v>51</v>
      </c>
      <c r="EY5" s="21" t="s">
        <v>207</v>
      </c>
      <c r="EZ5" s="21" t="s">
        <v>209</v>
      </c>
      <c r="FA5" s="21" t="s">
        <v>210</v>
      </c>
      <c r="FB5" s="116" t="s">
        <v>49</v>
      </c>
      <c r="FC5" s="116" t="s">
        <v>70</v>
      </c>
      <c r="FD5" s="73"/>
      <c r="FE5" s="73"/>
      <c r="FF5" s="24"/>
      <c r="FG5" s="24" t="s">
        <v>30</v>
      </c>
      <c r="FH5" s="24" t="s">
        <v>31</v>
      </c>
      <c r="FI5" s="24" t="s">
        <v>32</v>
      </c>
      <c r="FJ5" s="24" t="s">
        <v>33</v>
      </c>
      <c r="FK5" s="24" t="s">
        <v>34</v>
      </c>
      <c r="FL5" s="24" t="s">
        <v>35</v>
      </c>
      <c r="FM5" s="13"/>
      <c r="FN5" s="24" t="s">
        <v>29</v>
      </c>
      <c r="FO5" s="24" t="s">
        <v>42</v>
      </c>
      <c r="FP5" s="24" t="s">
        <v>42</v>
      </c>
      <c r="FQ5" s="24" t="s">
        <v>24</v>
      </c>
      <c r="FR5" s="24" t="s">
        <v>25</v>
      </c>
      <c r="FS5" s="24" t="s">
        <v>26</v>
      </c>
      <c r="FT5" s="24" t="s">
        <v>43</v>
      </c>
      <c r="FU5" s="177"/>
      <c r="FV5" s="24" t="s">
        <v>238</v>
      </c>
      <c r="FW5" s="24" t="s">
        <v>239</v>
      </c>
      <c r="FX5" s="24" t="s">
        <v>240</v>
      </c>
      <c r="FY5" s="24" t="s">
        <v>241</v>
      </c>
      <c r="FZ5" s="24" t="s">
        <v>27</v>
      </c>
      <c r="GA5" s="24" t="s">
        <v>47</v>
      </c>
      <c r="GB5" s="24" t="s">
        <v>28</v>
      </c>
      <c r="GC5" s="24" t="s">
        <v>48</v>
      </c>
      <c r="GD5" s="13"/>
      <c r="GE5" s="12" t="s">
        <v>8</v>
      </c>
      <c r="GF5" s="12" t="s">
        <v>60</v>
      </c>
      <c r="GG5" s="12" t="s">
        <v>61</v>
      </c>
      <c r="GH5" s="12" t="s">
        <v>62</v>
      </c>
      <c r="GI5" s="12" t="s">
        <v>63</v>
      </c>
      <c r="GJ5" s="12" t="s">
        <v>64</v>
      </c>
      <c r="GK5" s="12" t="s">
        <v>65</v>
      </c>
      <c r="GL5" s="13"/>
      <c r="GM5" s="13"/>
      <c r="GN5" s="12" t="s">
        <v>54</v>
      </c>
      <c r="GO5" s="12" t="s">
        <v>56</v>
      </c>
      <c r="GP5" s="12" t="s">
        <v>57</v>
      </c>
      <c r="GQ5" s="12" t="s">
        <v>58</v>
      </c>
      <c r="GR5" s="24" t="s">
        <v>30</v>
      </c>
      <c r="GS5" s="24" t="s">
        <v>31</v>
      </c>
      <c r="GT5" s="24" t="s">
        <v>32</v>
      </c>
      <c r="GU5" s="24" t="s">
        <v>33</v>
      </c>
      <c r="GV5" s="24" t="s">
        <v>34</v>
      </c>
      <c r="GW5" s="24" t="s">
        <v>35</v>
      </c>
      <c r="GX5" s="13"/>
      <c r="GY5" s="13"/>
      <c r="HJ5" s="12" t="s">
        <v>237</v>
      </c>
    </row>
    <row r="6" spans="1:221" x14ac:dyDescent="0.3">
      <c r="A6" s="128"/>
      <c r="B6" s="3">
        <v>122.18</v>
      </c>
      <c r="C6" s="3"/>
      <c r="D6" s="3"/>
      <c r="E6" s="3"/>
      <c r="F6" s="3"/>
      <c r="G6" s="3"/>
      <c r="H6" s="3"/>
      <c r="I6" s="3"/>
      <c r="J6" s="3"/>
      <c r="K6" s="3"/>
      <c r="L6" s="3"/>
      <c r="M6" s="3"/>
      <c r="N6" s="3"/>
      <c r="O6" s="3"/>
      <c r="P6" s="3"/>
      <c r="Q6" s="3"/>
      <c r="R6" s="3"/>
      <c r="S6" s="3"/>
      <c r="T6" s="3"/>
      <c r="U6" s="3"/>
      <c r="V6" s="3"/>
      <c r="W6" s="3"/>
      <c r="X6" s="3" t="str">
        <f>IF(ISBLANK(W6),"",W6/(AU6*1))</f>
        <v/>
      </c>
      <c r="Y6" s="3"/>
      <c r="Z6" s="3" t="str">
        <f>IF(ISBLANK(Y6),"",Y6/(BE6*1))</f>
        <v/>
      </c>
      <c r="AA6" s="3">
        <f t="shared" ref="AA6:AA30" si="0">SUM(X6,Z6)</f>
        <v>0</v>
      </c>
      <c r="AB6" s="3"/>
      <c r="AC6" s="3"/>
      <c r="AD6" s="3" t="str">
        <f>IF(ISBLANK(AC6),"",AC6/(#REF!*1))</f>
        <v/>
      </c>
      <c r="AE6" s="3"/>
      <c r="AF6" s="3" t="str">
        <f>IF(ISBLANK(AE6),"",AE6/(#REF!*1))</f>
        <v/>
      </c>
      <c r="AG6" s="3"/>
      <c r="AH6" s="3" t="s">
        <v>119</v>
      </c>
      <c r="AI6" s="33"/>
      <c r="AJ6" s="33">
        <v>1.01537048816681</v>
      </c>
      <c r="AK6" s="33">
        <v>509</v>
      </c>
      <c r="AL6" s="32"/>
      <c r="AM6" s="32"/>
      <c r="AN6" s="32"/>
      <c r="AO6" s="32"/>
      <c r="AP6" s="32"/>
      <c r="AQ6" s="33" t="s">
        <v>88</v>
      </c>
      <c r="AR6" s="33"/>
      <c r="AS6" s="35" t="s">
        <v>50</v>
      </c>
      <c r="AT6" s="33" t="s">
        <v>120</v>
      </c>
      <c r="AU6" s="33"/>
      <c r="AV6" s="33" t="s">
        <v>171</v>
      </c>
      <c r="AW6" s="35" t="s">
        <v>50</v>
      </c>
      <c r="AX6" s="33" t="s">
        <v>121</v>
      </c>
      <c r="AY6" s="35" t="s">
        <v>50</v>
      </c>
      <c r="AZ6" s="35"/>
      <c r="BA6" s="35"/>
      <c r="BB6" s="35" t="s">
        <v>50</v>
      </c>
      <c r="BC6" s="35"/>
      <c r="BD6" s="35"/>
      <c r="BE6" s="32"/>
      <c r="BF6" s="32"/>
      <c r="BG6" s="32"/>
      <c r="BH6" s="33"/>
      <c r="BI6" s="33" t="str">
        <f>IF(ISBLANK(BH6),"",BH6/(DK6*1))</f>
        <v/>
      </c>
      <c r="BJ6" s="33"/>
      <c r="BK6" s="33"/>
      <c r="BL6" s="54" t="str">
        <f>IF(ISBLANK(BK6),"",BK6+BI6)</f>
        <v/>
      </c>
      <c r="BM6" s="33"/>
      <c r="BN6" s="33"/>
      <c r="BO6" s="33"/>
      <c r="BP6" s="33"/>
      <c r="BQ6" s="55"/>
      <c r="BR6" s="3"/>
      <c r="BS6" s="3"/>
      <c r="BT6" s="3"/>
      <c r="BU6" s="3"/>
      <c r="BV6" s="33"/>
      <c r="BW6" s="7" t="s">
        <v>50</v>
      </c>
      <c r="BX6" s="33">
        <v>4.1659846128662599</v>
      </c>
      <c r="BY6" s="170">
        <f>ROUND(BX6,2-(1+INT((LOG10(ABS(BX6))))))</f>
        <v>4.2</v>
      </c>
      <c r="BZ6" s="170">
        <f>INT((LOG10(ABS(BX6))))</f>
        <v>0</v>
      </c>
      <c r="CA6" s="170">
        <f>MOD(BY6,1)</f>
        <v>0.20000000000000018</v>
      </c>
      <c r="CB6" s="170" t="str">
        <f>IF(AND(BZ6=0,CA6=0),".0","")</f>
        <v/>
      </c>
      <c r="CC6" s="170" t="str">
        <f>CONCATENATE(BY6,CB6)</f>
        <v>4.2</v>
      </c>
      <c r="CD6" s="27"/>
      <c r="CE6" s="109" t="s">
        <v>36</v>
      </c>
      <c r="CF6" s="95">
        <v>144</v>
      </c>
      <c r="CG6" s="171" t="s">
        <v>50</v>
      </c>
      <c r="CH6" s="4">
        <f t="shared" ref="CH6:CH30" si="1">FN6/1000</f>
        <v>1.6922900000000001</v>
      </c>
      <c r="CI6" s="94">
        <v>6.2896734105948003E-3</v>
      </c>
      <c r="CJ6" s="7" t="str">
        <f>IF(BW6="---",BW6,CONCATENATE(BW6," (",CC6,")"))</f>
        <v>---</v>
      </c>
      <c r="CK6" s="3" t="s">
        <v>122</v>
      </c>
      <c r="CL6" s="7" t="s">
        <v>50</v>
      </c>
      <c r="CM6" s="7" t="s">
        <v>50</v>
      </c>
      <c r="CN6" s="147" t="s">
        <v>50</v>
      </c>
      <c r="CO6" s="145" t="str">
        <f>FW6</f>
        <v>---</v>
      </c>
      <c r="CP6" s="87" t="str">
        <f>FY6</f>
        <v>---</v>
      </c>
      <c r="CQ6" s="109" t="s">
        <v>36</v>
      </c>
      <c r="CR6" s="5" t="s">
        <v>122</v>
      </c>
      <c r="CS6" s="137">
        <v>0</v>
      </c>
      <c r="CT6" s="95">
        <v>0</v>
      </c>
      <c r="CU6" s="95">
        <v>0</v>
      </c>
      <c r="CV6" s="95">
        <v>0</v>
      </c>
      <c r="CW6" s="95">
        <v>0</v>
      </c>
      <c r="CX6" s="96">
        <v>0</v>
      </c>
      <c r="CY6" s="137">
        <v>0.23820469722832668</v>
      </c>
      <c r="CZ6" s="95">
        <v>0.47387772877004181</v>
      </c>
      <c r="DA6" s="95">
        <v>0.4764186216762068</v>
      </c>
      <c r="DB6" s="95">
        <v>0.4932013393883336</v>
      </c>
      <c r="DC6" s="95">
        <v>0.57296487116323502</v>
      </c>
      <c r="DD6" s="96">
        <v>0.91201309692037413</v>
      </c>
      <c r="DE6" s="204" t="s">
        <v>50</v>
      </c>
      <c r="DF6" s="7" t="s">
        <v>50</v>
      </c>
      <c r="DG6" s="7" t="s">
        <v>50</v>
      </c>
      <c r="DH6" s="7" t="s">
        <v>50</v>
      </c>
      <c r="DI6" s="7" t="s">
        <v>50</v>
      </c>
      <c r="DJ6" s="7" t="s">
        <v>50</v>
      </c>
      <c r="DK6" s="136" t="s">
        <v>50</v>
      </c>
      <c r="DL6" s="95">
        <v>258.92696287516702</v>
      </c>
      <c r="DM6" s="95">
        <v>377.304980823253</v>
      </c>
      <c r="DN6" s="95">
        <v>607.21925227194197</v>
      </c>
      <c r="DO6" s="95">
        <v>691.39785478051397</v>
      </c>
      <c r="DP6" s="95">
        <v>812.37250900844901</v>
      </c>
      <c r="DQ6" s="96">
        <v>1113.9293873336901</v>
      </c>
      <c r="EO6" s="163" t="s">
        <v>36</v>
      </c>
      <c r="EP6" s="92" t="str">
        <f>IF(ISBLANK(FT6),"---",IF(FT6="Q1000","&gt;Q500",FT6))</f>
        <v>---</v>
      </c>
      <c r="EQ6" s="22" t="b">
        <f t="shared" ref="EQ6:EQ30" si="2">EXACT(EO6,EU6)</f>
        <v>0</v>
      </c>
      <c r="ER6" s="6"/>
      <c r="ES6" s="6"/>
      <c r="ET6" s="6"/>
      <c r="EU6" s="68"/>
      <c r="EV6" s="6"/>
      <c r="EW6" s="6"/>
      <c r="EX6" s="6"/>
      <c r="EY6" s="88"/>
      <c r="EZ6" s="21"/>
      <c r="FA6" s="21"/>
      <c r="FB6" s="6"/>
      <c r="FC6" s="6"/>
      <c r="FD6" s="22"/>
      <c r="FE6" s="22"/>
      <c r="FF6" s="11"/>
      <c r="FG6" s="8">
        <v>0.27180403157088701</v>
      </c>
      <c r="FH6" s="9">
        <v>0.50748232883701905</v>
      </c>
      <c r="FI6" s="9">
        <v>0.51002322174317605</v>
      </c>
      <c r="FJ6" s="9">
        <v>0.52680593945528498</v>
      </c>
      <c r="FK6" s="9">
        <v>0.60656947123022298</v>
      </c>
      <c r="FL6" s="10">
        <v>0.945617696987333</v>
      </c>
      <c r="FM6" s="14"/>
      <c r="FN6" s="3">
        <v>1692.29</v>
      </c>
      <c r="FO6" s="5"/>
      <c r="FP6" s="5" t="str">
        <f t="shared" ref="FP6:FP30" si="3">IF(ISBLANK(FO6),"na",CONCATENATE("Q",FO6))</f>
        <v>na</v>
      </c>
      <c r="FQ6" s="5">
        <v>0</v>
      </c>
      <c r="FR6" s="5" t="s">
        <v>44</v>
      </c>
      <c r="FS6" s="5"/>
      <c r="FT6" s="5"/>
      <c r="FU6" s="68" t="s">
        <v>36</v>
      </c>
      <c r="FV6" s="5"/>
      <c r="FW6" s="5" t="str">
        <f t="shared" ref="FW6:FY30" si="4">IF(ISBLANK(FV6),"---",IF(FV6=1000,"&gt;Q500",CONCATENATE("Q",FV6)))</f>
        <v>---</v>
      </c>
      <c r="FX6" s="5"/>
      <c r="FY6" s="5" t="str">
        <f t="shared" si="4"/>
        <v>---</v>
      </c>
      <c r="FZ6" s="5"/>
      <c r="GA6" s="4">
        <v>0</v>
      </c>
      <c r="GB6" s="5"/>
      <c r="GC6" s="5" t="str">
        <f t="shared" ref="GC6:GC30" si="5">IF(ISBLANK(GB6),"na",GB6)</f>
        <v>na</v>
      </c>
      <c r="GE6" t="s">
        <v>36</v>
      </c>
      <c r="GF6">
        <v>258.92696287516702</v>
      </c>
      <c r="GG6">
        <v>377.304980823253</v>
      </c>
      <c r="GH6">
        <v>607.21925227194197</v>
      </c>
      <c r="GI6">
        <v>691.39785478051397</v>
      </c>
      <c r="GJ6">
        <v>812.37250900844901</v>
      </c>
      <c r="GK6">
        <v>1113.9293873336901</v>
      </c>
      <c r="GM6" s="14"/>
      <c r="GN6" s="15">
        <v>6.2896734105948003E-3</v>
      </c>
      <c r="GR6">
        <v>206.31833166225201</v>
      </c>
      <c r="GS6">
        <v>265.43566769880101</v>
      </c>
      <c r="GT6">
        <v>394.087522025091</v>
      </c>
      <c r="GU6">
        <v>438.06979018709302</v>
      </c>
      <c r="GV6">
        <v>502.74274389044098</v>
      </c>
      <c r="GW6">
        <v>618.979460299587</v>
      </c>
      <c r="GX6" s="14"/>
      <c r="GY6" s="14"/>
      <c r="HJ6" t="str">
        <f t="shared" ref="HJ6:HJ30" si="6">IF(CL6&gt;3,"","Entrenched")</f>
        <v/>
      </c>
      <c r="HL6">
        <f>COUNTIF(CE:EP,"Alluvial")</f>
        <v>36</v>
      </c>
      <c r="HM6" t="s">
        <v>254</v>
      </c>
    </row>
    <row r="7" spans="1:221" x14ac:dyDescent="0.3">
      <c r="A7" s="128"/>
      <c r="B7" s="3">
        <v>121.74</v>
      </c>
      <c r="C7" s="3"/>
      <c r="D7" s="3"/>
      <c r="E7" s="3"/>
      <c r="F7" s="3"/>
      <c r="G7" s="3"/>
      <c r="H7" s="3"/>
      <c r="I7" s="3"/>
      <c r="J7" s="3"/>
      <c r="K7" s="3"/>
      <c r="L7" s="3"/>
      <c r="M7" s="3"/>
      <c r="N7" s="3"/>
      <c r="O7" s="3"/>
      <c r="P7" s="3"/>
      <c r="Q7" s="3"/>
      <c r="R7" s="3"/>
      <c r="S7" s="3"/>
      <c r="T7" s="3"/>
      <c r="U7" s="3"/>
      <c r="V7" s="3"/>
      <c r="W7" s="3"/>
      <c r="X7" s="3" t="str">
        <f>IF(ISBLANK(W7),"",W7/(AU7*1))</f>
        <v/>
      </c>
      <c r="Y7" s="3"/>
      <c r="Z7" s="3" t="str">
        <f>IF(ISBLANK(Y7),"",Y7/(BE7*1))</f>
        <v/>
      </c>
      <c r="AA7" s="3">
        <f t="shared" si="0"/>
        <v>0</v>
      </c>
      <c r="AB7" s="3"/>
      <c r="AC7" s="3"/>
      <c r="AD7" s="3" t="str">
        <f>IF(ISBLANK(AC7),"",AC7/(#REF!*1))</f>
        <v/>
      </c>
      <c r="AE7" s="3"/>
      <c r="AF7" s="3" t="str">
        <f>IF(ISBLANK(AE7),"",AE7/(#REF!*1))</f>
        <v/>
      </c>
      <c r="AG7" s="3"/>
      <c r="AH7" s="3" t="s">
        <v>119</v>
      </c>
      <c r="AI7" s="33"/>
      <c r="AJ7" s="33">
        <v>1.03566014766693</v>
      </c>
      <c r="AK7" s="33">
        <v>460</v>
      </c>
      <c r="AL7" s="32"/>
      <c r="AM7" s="32"/>
      <c r="AN7" s="32"/>
      <c r="AO7" s="32"/>
      <c r="AP7" s="32"/>
      <c r="AQ7" s="33" t="s">
        <v>80</v>
      </c>
      <c r="AR7" s="33"/>
      <c r="AS7" s="35" t="s">
        <v>50</v>
      </c>
      <c r="AT7" s="33" t="s">
        <v>122</v>
      </c>
      <c r="AU7" s="33"/>
      <c r="AV7" s="33" t="s">
        <v>86</v>
      </c>
      <c r="AW7" s="35" t="s">
        <v>50</v>
      </c>
      <c r="AX7" s="33" t="s">
        <v>121</v>
      </c>
      <c r="AY7" s="35" t="s">
        <v>50</v>
      </c>
      <c r="AZ7" s="35"/>
      <c r="BA7" s="35"/>
      <c r="BB7" s="35" t="s">
        <v>50</v>
      </c>
      <c r="BC7" s="35"/>
      <c r="BD7" s="35"/>
      <c r="BE7" s="32"/>
      <c r="BF7" s="32"/>
      <c r="BG7" s="32"/>
      <c r="BH7" s="33"/>
      <c r="BI7" s="33" t="str">
        <f>IF(ISBLANK(BH7),"",BH7/(DK7*1))</f>
        <v/>
      </c>
      <c r="BJ7" s="33"/>
      <c r="BK7" s="33"/>
      <c r="BL7" s="54" t="str">
        <f>IF(ISBLANK(BK7),"",BK7+BI7)</f>
        <v/>
      </c>
      <c r="BM7" s="33"/>
      <c r="BN7" s="33"/>
      <c r="BO7" s="33"/>
      <c r="BP7" s="33"/>
      <c r="BQ7" s="55"/>
      <c r="BR7" s="3"/>
      <c r="BS7" s="3"/>
      <c r="BT7" s="3"/>
      <c r="BU7" s="3"/>
      <c r="BV7" s="33"/>
      <c r="BW7" s="7" t="s">
        <v>50</v>
      </c>
      <c r="BX7" s="33">
        <v>3.7785444389682898</v>
      </c>
      <c r="BY7" s="170">
        <f>ROUND(BX7,2-(1+INT((LOG10(ABS(BX7))))))</f>
        <v>3.8</v>
      </c>
      <c r="BZ7" s="170">
        <f t="shared" ref="BZ7:BZ30" si="7">INT((LOG10(ABS(BX7))))</f>
        <v>0</v>
      </c>
      <c r="CA7" s="170">
        <f t="shared" ref="CA7:CA34" si="8">MOD(BY7,1)</f>
        <v>0.79999999999999982</v>
      </c>
      <c r="CB7" s="170" t="str">
        <f t="shared" ref="CB7:CB34" si="9">IF(AND(BZ7=0,CA7=0),".0","")</f>
        <v/>
      </c>
      <c r="CC7" s="170" t="str">
        <f t="shared" ref="CC7:CC34" si="10">CONCATENATE(BY7,CB7)</f>
        <v>3.8</v>
      </c>
      <c r="CD7" s="27"/>
      <c r="CE7" s="109" t="s">
        <v>37</v>
      </c>
      <c r="CF7" s="95">
        <v>143</v>
      </c>
      <c r="CG7" s="171" t="s">
        <v>50</v>
      </c>
      <c r="CH7" s="4">
        <f t="shared" si="1"/>
        <v>0.83223800000000003</v>
      </c>
      <c r="CI7" s="94">
        <v>1.9717939965368601E-2</v>
      </c>
      <c r="CJ7" s="7" t="str">
        <f>IF(BW7="---",BW7,CONCATENATE(BW7," (",CC7,")"))</f>
        <v>---</v>
      </c>
      <c r="CK7" s="3" t="s">
        <v>122</v>
      </c>
      <c r="CL7" s="7" t="s">
        <v>50</v>
      </c>
      <c r="CM7" s="7" t="s">
        <v>50</v>
      </c>
      <c r="CN7" s="147" t="s">
        <v>50</v>
      </c>
      <c r="CO7" s="145" t="str">
        <f>FW7</f>
        <v>---</v>
      </c>
      <c r="CP7" s="87" t="str">
        <f>FY7</f>
        <v>---</v>
      </c>
      <c r="CQ7" s="109" t="s">
        <v>37</v>
      </c>
      <c r="CR7" s="5" t="s">
        <v>122</v>
      </c>
      <c r="CS7" s="137">
        <v>0</v>
      </c>
      <c r="CT7" s="95">
        <v>0</v>
      </c>
      <c r="CU7" s="95">
        <v>0</v>
      </c>
      <c r="CV7" s="95">
        <v>0</v>
      </c>
      <c r="CW7" s="95">
        <v>0</v>
      </c>
      <c r="CX7" s="96">
        <v>0</v>
      </c>
      <c r="CY7" s="137">
        <v>1.0909921054922089E-2</v>
      </c>
      <c r="CZ7" s="95">
        <v>1.3035584900527612E-2</v>
      </c>
      <c r="DA7" s="95">
        <v>1.3647100346351403E-2</v>
      </c>
      <c r="DB7" s="95">
        <v>1.3647100346351403E-2</v>
      </c>
      <c r="DC7" s="95">
        <v>1.3647100346351403E-2</v>
      </c>
      <c r="DD7" s="96">
        <v>1.3676637460950472E-2</v>
      </c>
      <c r="DE7" s="204" t="s">
        <v>50</v>
      </c>
      <c r="DF7" s="7" t="s">
        <v>50</v>
      </c>
      <c r="DG7" s="7" t="s">
        <v>50</v>
      </c>
      <c r="DH7" s="7" t="s">
        <v>50</v>
      </c>
      <c r="DI7" s="7" t="s">
        <v>50</v>
      </c>
      <c r="DJ7" s="7" t="s">
        <v>50</v>
      </c>
      <c r="DK7" s="136" t="s">
        <v>50</v>
      </c>
      <c r="DL7" s="95">
        <v>1033.2007403963701</v>
      </c>
      <c r="DM7" s="95">
        <v>1524.12326310039</v>
      </c>
      <c r="DN7" s="95">
        <v>2340.8646237482199</v>
      </c>
      <c r="DO7" s="95">
        <v>2740.2885228536302</v>
      </c>
      <c r="DP7" s="95">
        <v>3317.87785073656</v>
      </c>
      <c r="DQ7" s="96">
        <v>4415.62145124362</v>
      </c>
      <c r="EO7" s="163" t="s">
        <v>37</v>
      </c>
      <c r="EP7" s="92" t="str">
        <f>IF(ISBLANK(FT7),"---",IF(FT7="Q1000","&gt;Q500",FT7))</f>
        <v>---</v>
      </c>
      <c r="EQ7" s="22" t="b">
        <f t="shared" si="2"/>
        <v>0</v>
      </c>
      <c r="ER7" s="6"/>
      <c r="ES7" s="6"/>
      <c r="ET7" s="6"/>
      <c r="EU7" s="68"/>
      <c r="EV7" s="6"/>
      <c r="EW7" s="6"/>
      <c r="EX7" s="6"/>
      <c r="EY7" s="88"/>
      <c r="EZ7" s="21"/>
      <c r="FA7" s="21"/>
      <c r="FB7" s="6"/>
      <c r="FC7" s="6"/>
      <c r="FD7" s="22"/>
      <c r="FE7" s="22"/>
      <c r="FF7" s="11"/>
      <c r="FG7" s="8">
        <v>1.2339400059782299E-2</v>
      </c>
      <c r="FH7" s="9">
        <v>1.44650639053791E-2</v>
      </c>
      <c r="FI7" s="9">
        <v>1.51054747532031E-2</v>
      </c>
      <c r="FJ7" s="9">
        <v>1.51054747532031E-2</v>
      </c>
      <c r="FK7" s="9">
        <v>1.51054747531331E-2</v>
      </c>
      <c r="FL7" s="10">
        <v>1.51350118677671E-2</v>
      </c>
      <c r="FM7" s="14"/>
      <c r="FN7" s="3">
        <v>832.23800000000006</v>
      </c>
      <c r="FO7" s="5"/>
      <c r="FP7" s="5" t="str">
        <f t="shared" si="3"/>
        <v>na</v>
      </c>
      <c r="FQ7" s="5">
        <v>0</v>
      </c>
      <c r="FR7" s="5" t="s">
        <v>44</v>
      </c>
      <c r="FS7" s="5"/>
      <c r="FT7" s="5"/>
      <c r="FU7" s="68" t="s">
        <v>37</v>
      </c>
      <c r="FV7" s="5"/>
      <c r="FW7" s="5" t="str">
        <f t="shared" si="4"/>
        <v>---</v>
      </c>
      <c r="FX7" s="5"/>
      <c r="FY7" s="5" t="str">
        <f t="shared" si="4"/>
        <v>---</v>
      </c>
      <c r="FZ7" s="5"/>
      <c r="GA7" s="4">
        <v>0</v>
      </c>
      <c r="GB7" s="5"/>
      <c r="GC7" s="5" t="str">
        <f t="shared" si="5"/>
        <v>na</v>
      </c>
      <c r="GE7" t="s">
        <v>37</v>
      </c>
      <c r="GF7">
        <v>1033.2007403963701</v>
      </c>
      <c r="GG7">
        <v>1524.12326310039</v>
      </c>
      <c r="GH7">
        <v>2340.8646237482199</v>
      </c>
      <c r="GI7">
        <v>2740.2885228536302</v>
      </c>
      <c r="GJ7">
        <v>3317.87785073656</v>
      </c>
      <c r="GK7">
        <v>4415.62145124362</v>
      </c>
      <c r="GM7" s="14"/>
      <c r="GN7" s="15">
        <v>1.9717939965368601E-2</v>
      </c>
      <c r="GR7">
        <v>870.84141184684302</v>
      </c>
      <c r="GS7">
        <v>1198.78506870502</v>
      </c>
      <c r="GT7">
        <v>1719.62148180136</v>
      </c>
      <c r="GU7">
        <v>1962.7633625666899</v>
      </c>
      <c r="GV7">
        <v>2319.23961360879</v>
      </c>
      <c r="GW7">
        <v>2978.5874813775399</v>
      </c>
      <c r="GX7" s="14"/>
      <c r="GY7" s="14"/>
      <c r="HJ7" t="str">
        <f t="shared" si="6"/>
        <v/>
      </c>
      <c r="HL7">
        <f>COUNTIF(HJ6:HJ30,"Entrenched")</f>
        <v>13</v>
      </c>
      <c r="HM7" t="s">
        <v>255</v>
      </c>
    </row>
    <row r="8" spans="1:221" ht="14.4" customHeight="1" x14ac:dyDescent="0.3">
      <c r="A8" s="128"/>
      <c r="B8" s="3"/>
      <c r="C8" s="3"/>
      <c r="D8" s="3"/>
      <c r="E8" s="3"/>
      <c r="F8" s="3"/>
      <c r="G8" s="3"/>
      <c r="H8" s="3"/>
      <c r="I8" s="3"/>
      <c r="J8" s="3"/>
      <c r="K8" s="3"/>
      <c r="L8" s="3"/>
      <c r="M8" s="3">
        <v>0</v>
      </c>
      <c r="N8" s="3">
        <v>0</v>
      </c>
      <c r="O8" s="3">
        <v>0</v>
      </c>
      <c r="P8" s="3">
        <v>0</v>
      </c>
      <c r="Q8" s="3">
        <v>0</v>
      </c>
      <c r="R8" s="3">
        <v>0</v>
      </c>
      <c r="S8" s="3"/>
      <c r="T8" s="3"/>
      <c r="U8" s="3" t="s">
        <v>161</v>
      </c>
      <c r="V8" s="3" t="s">
        <v>85</v>
      </c>
      <c r="W8" s="3">
        <v>983.63009999999997</v>
      </c>
      <c r="X8" s="3">
        <f t="shared" ref="X8:X30" si="11">IF(ISBLANK(W8),"",W8/($CH8*3.2808399*1000))</f>
        <v>0.28214533462351016</v>
      </c>
      <c r="Y8" s="3">
        <v>0</v>
      </c>
      <c r="Z8" s="3">
        <f t="shared" ref="Z8:Z30" si="12">IF(ISBLANK(Y8),"",Y8/($CH8*3.2808399*1000))</f>
        <v>0</v>
      </c>
      <c r="AA8" s="3">
        <f t="shared" si="0"/>
        <v>0.28214533462351016</v>
      </c>
      <c r="AB8" s="3"/>
      <c r="AC8" s="3">
        <v>0</v>
      </c>
      <c r="AD8" s="3">
        <f t="shared" ref="AD8:AD30" si="13">IF(ISBLANK(AC8),"",AC8/($CH8*3.2808399*1000))</f>
        <v>0</v>
      </c>
      <c r="AE8" s="3">
        <v>0</v>
      </c>
      <c r="AF8" s="3">
        <f t="shared" ref="AF8:AF30" si="14">IF(ISBLANK(AE8),"",AE8/($CH8*3.2808399*1000))</f>
        <v>0</v>
      </c>
      <c r="AG8" s="3">
        <v>3486</v>
      </c>
      <c r="AH8" s="3"/>
      <c r="AI8" s="3"/>
      <c r="AJ8" s="3"/>
      <c r="AK8" s="3"/>
      <c r="AL8" s="120"/>
      <c r="AM8" s="120"/>
      <c r="AN8" s="120"/>
      <c r="AO8" s="120"/>
      <c r="AP8" s="120"/>
      <c r="AQ8" s="3"/>
      <c r="AR8" s="3"/>
      <c r="AS8" s="5" t="s">
        <v>46</v>
      </c>
      <c r="AT8" s="3"/>
      <c r="AU8" s="3"/>
      <c r="AV8" s="121" t="s">
        <v>59</v>
      </c>
      <c r="AW8" s="120"/>
      <c r="AX8" s="3"/>
      <c r="AY8" s="121" t="s">
        <v>59</v>
      </c>
      <c r="AZ8" s="121"/>
      <c r="BA8" s="120"/>
      <c r="BB8" s="120"/>
      <c r="BC8" s="120"/>
      <c r="BD8" s="120"/>
      <c r="BE8" s="121" t="s">
        <v>59</v>
      </c>
      <c r="BF8" s="120"/>
      <c r="BG8" s="120"/>
      <c r="BH8" s="3">
        <v>3486.2159999999999</v>
      </c>
      <c r="BI8" s="3">
        <f t="shared" ref="BI8:BI30" si="15">IF(ISBLANK(BH8),"",BH8/($CH8*3.2808399*1000))</f>
        <v>0.99998930481065507</v>
      </c>
      <c r="BJ8" s="3">
        <v>0</v>
      </c>
      <c r="BK8" s="3">
        <f>IF(ISBLANK(BJ8),"",BJ8/($CH8*3.2808399*1000))</f>
        <v>0</v>
      </c>
      <c r="BL8" s="121" t="s">
        <v>59</v>
      </c>
      <c r="BM8" s="3"/>
      <c r="BN8" s="3"/>
      <c r="BO8" s="3"/>
      <c r="BP8" s="3"/>
      <c r="BQ8" s="121" t="s">
        <v>59</v>
      </c>
      <c r="BR8" s="3"/>
      <c r="BS8" s="3"/>
      <c r="BT8" s="3">
        <v>3.0896439999999998</v>
      </c>
      <c r="BU8" s="3">
        <v>7</v>
      </c>
      <c r="BV8" s="3"/>
      <c r="BW8" s="27"/>
      <c r="BX8" s="3"/>
      <c r="BY8" s="27"/>
      <c r="BZ8" s="170" t="e">
        <f t="shared" si="7"/>
        <v>#NUM!</v>
      </c>
      <c r="CA8" s="170">
        <f t="shared" si="8"/>
        <v>0</v>
      </c>
      <c r="CB8" s="170" t="e">
        <f t="shared" si="9"/>
        <v>#NUM!</v>
      </c>
      <c r="CC8" s="170" t="e">
        <f t="shared" si="10"/>
        <v>#NUM!</v>
      </c>
      <c r="CD8" s="27"/>
      <c r="CE8" s="109" t="s">
        <v>38</v>
      </c>
      <c r="CF8" s="95">
        <v>142</v>
      </c>
      <c r="CG8" s="171" t="s">
        <v>50</v>
      </c>
      <c r="CH8" s="4">
        <f t="shared" si="1"/>
        <v>1.0626099999999998</v>
      </c>
      <c r="CI8" s="17">
        <v>2.6072955553569998E-4</v>
      </c>
      <c r="CJ8" s="198" t="s">
        <v>59</v>
      </c>
      <c r="CK8" s="11"/>
      <c r="CL8" s="11"/>
      <c r="CM8" s="11"/>
      <c r="CN8" s="11"/>
      <c r="CO8" s="11"/>
      <c r="CP8" s="11"/>
      <c r="CQ8" s="109" t="s">
        <v>38</v>
      </c>
      <c r="CR8" s="208" t="s">
        <v>50</v>
      </c>
      <c r="CS8" s="222" t="s">
        <v>59</v>
      </c>
      <c r="CT8" s="223"/>
      <c r="CU8" s="223"/>
      <c r="CV8" s="223"/>
      <c r="CW8" s="223"/>
      <c r="CX8" s="224"/>
      <c r="CY8" s="222" t="s">
        <v>59</v>
      </c>
      <c r="CZ8" s="223"/>
      <c r="DA8" s="223"/>
      <c r="DB8" s="223"/>
      <c r="DC8" s="223"/>
      <c r="DD8" s="224"/>
      <c r="DE8" s="185"/>
      <c r="DF8" s="185"/>
      <c r="DG8" s="185"/>
      <c r="DH8" s="121"/>
      <c r="DI8" s="121"/>
      <c r="DJ8" s="121"/>
      <c r="DK8" s="184" t="s">
        <v>59</v>
      </c>
      <c r="DL8" s="121"/>
      <c r="DM8" s="121"/>
      <c r="DN8" s="121"/>
      <c r="DO8" s="121"/>
      <c r="DP8" s="121"/>
      <c r="DQ8" s="186"/>
      <c r="EO8" s="163" t="s">
        <v>38</v>
      </c>
      <c r="EP8" s="112" t="s">
        <v>59</v>
      </c>
      <c r="EQ8" s="22" t="b">
        <f t="shared" si="2"/>
        <v>0</v>
      </c>
      <c r="ER8" s="6"/>
      <c r="ES8" s="6"/>
      <c r="ET8" s="6"/>
      <c r="EU8" s="68"/>
      <c r="EV8" s="6"/>
      <c r="EW8" s="6"/>
      <c r="EX8" s="6"/>
      <c r="EY8" s="88"/>
      <c r="EZ8" s="21"/>
      <c r="FA8" s="21"/>
      <c r="FB8" s="6"/>
      <c r="FC8" s="6"/>
      <c r="FD8" s="22"/>
      <c r="FE8" s="22"/>
      <c r="FF8" s="11"/>
      <c r="FG8" s="8">
        <v>0.18557629020014499</v>
      </c>
      <c r="FH8" s="9">
        <v>0.19137246386102</v>
      </c>
      <c r="FI8" s="9">
        <v>0.192924204634952</v>
      </c>
      <c r="FJ8" s="9">
        <v>0.19306447527627499</v>
      </c>
      <c r="FK8" s="9">
        <v>0.19692376207035001</v>
      </c>
      <c r="FL8" s="10">
        <v>0.25567418507355799</v>
      </c>
      <c r="FM8" s="14"/>
      <c r="FN8" s="3">
        <v>1062.6099999999999</v>
      </c>
      <c r="FO8" s="5"/>
      <c r="FP8" s="5" t="str">
        <f t="shared" si="3"/>
        <v>na</v>
      </c>
      <c r="FQ8" s="5">
        <v>0</v>
      </c>
      <c r="FR8" s="5" t="s">
        <v>44</v>
      </c>
      <c r="FS8" s="5"/>
      <c r="FT8" s="5"/>
      <c r="FU8" s="68" t="s">
        <v>38</v>
      </c>
      <c r="FV8" s="5"/>
      <c r="FW8" s="5" t="str">
        <f t="shared" si="4"/>
        <v>---</v>
      </c>
      <c r="FX8" s="5"/>
      <c r="FY8" s="5" t="str">
        <f t="shared" si="4"/>
        <v>---</v>
      </c>
      <c r="FZ8" s="5"/>
      <c r="GA8" s="4">
        <v>0</v>
      </c>
      <c r="GB8" s="5"/>
      <c r="GC8" s="5" t="str">
        <f t="shared" si="5"/>
        <v>na</v>
      </c>
      <c r="GE8" t="s">
        <v>38</v>
      </c>
      <c r="GF8">
        <v>7.6693099849411004</v>
      </c>
      <c r="GG8">
        <v>10.799005818249601</v>
      </c>
      <c r="GH8">
        <v>16.947564936915398</v>
      </c>
      <c r="GI8">
        <v>19.663645111802602</v>
      </c>
      <c r="GJ8">
        <v>22.2860331696115</v>
      </c>
      <c r="GK8"/>
      <c r="GM8" s="14"/>
      <c r="GN8" s="15">
        <v>2.6072955553569998E-4</v>
      </c>
      <c r="GR8">
        <v>5.3362151489622001</v>
      </c>
      <c r="GS8">
        <v>7.2991489645055196</v>
      </c>
      <c r="GT8">
        <v>10.901312746047401</v>
      </c>
      <c r="GU8">
        <v>12.344982050353201</v>
      </c>
      <c r="GV8">
        <v>13.205089970393001</v>
      </c>
      <c r="GX8" s="14"/>
      <c r="GY8" s="14"/>
      <c r="HJ8" t="str">
        <f t="shared" si="6"/>
        <v>Entrenched</v>
      </c>
      <c r="HL8">
        <f>COUNTIF(CO:CO,"---")</f>
        <v>13</v>
      </c>
    </row>
    <row r="9" spans="1:221" x14ac:dyDescent="0.3">
      <c r="A9" s="128" t="s">
        <v>128</v>
      </c>
      <c r="B9" s="3">
        <v>120.86</v>
      </c>
      <c r="C9" s="3"/>
      <c r="D9" s="3"/>
      <c r="E9" s="3"/>
      <c r="F9" s="3"/>
      <c r="G9" s="3"/>
      <c r="H9" s="3"/>
      <c r="I9" s="3"/>
      <c r="J9" s="3"/>
      <c r="K9" s="3"/>
      <c r="L9" s="3"/>
      <c r="M9" s="3">
        <v>0</v>
      </c>
      <c r="N9" s="3">
        <v>0</v>
      </c>
      <c r="O9" s="3">
        <v>0</v>
      </c>
      <c r="P9" s="3">
        <v>0</v>
      </c>
      <c r="Q9" s="3">
        <v>0</v>
      </c>
      <c r="R9" s="3">
        <v>0</v>
      </c>
      <c r="S9" s="3"/>
      <c r="T9" s="3"/>
      <c r="U9" s="3" t="s">
        <v>161</v>
      </c>
      <c r="V9" s="3" t="s">
        <v>161</v>
      </c>
      <c r="W9" s="3">
        <v>1832.739</v>
      </c>
      <c r="X9" s="3">
        <f t="shared" si="11"/>
        <v>0.20239299958004661</v>
      </c>
      <c r="Y9" s="3">
        <v>246.3955</v>
      </c>
      <c r="Z9" s="3">
        <f t="shared" si="12"/>
        <v>2.7209943329642342E-2</v>
      </c>
      <c r="AA9" s="3">
        <f t="shared" si="0"/>
        <v>0.22960294290968897</v>
      </c>
      <c r="AB9" s="3">
        <v>7.66</v>
      </c>
      <c r="AC9" s="3">
        <v>1589.5419999999999</v>
      </c>
      <c r="AD9" s="3">
        <f t="shared" si="13"/>
        <v>0.17553627294364688</v>
      </c>
      <c r="AE9" s="3">
        <v>672.77919999999995</v>
      </c>
      <c r="AF9" s="3">
        <f t="shared" si="14"/>
        <v>7.4296340255248602E-2</v>
      </c>
      <c r="AG9" s="3">
        <v>9055</v>
      </c>
      <c r="AH9" s="3" t="s">
        <v>123</v>
      </c>
      <c r="AI9" s="3"/>
      <c r="AJ9" s="3">
        <v>1.0565928220748899</v>
      </c>
      <c r="AK9" s="3">
        <v>432</v>
      </c>
      <c r="AL9" s="5">
        <v>20</v>
      </c>
      <c r="AM9" s="5" t="s">
        <v>85</v>
      </c>
      <c r="AN9" s="5" t="s">
        <v>86</v>
      </c>
      <c r="AO9" s="5">
        <v>12</v>
      </c>
      <c r="AP9" s="5">
        <v>0.65</v>
      </c>
      <c r="AQ9" s="3" t="s">
        <v>80</v>
      </c>
      <c r="AR9" s="3" t="s">
        <v>85</v>
      </c>
      <c r="AS9" s="5" t="s">
        <v>0</v>
      </c>
      <c r="AT9" s="3" t="s">
        <v>126</v>
      </c>
      <c r="AU9" s="3" t="s">
        <v>81</v>
      </c>
      <c r="AV9" s="3"/>
      <c r="AW9" s="23" t="s">
        <v>80</v>
      </c>
      <c r="AX9" s="3" t="s">
        <v>127</v>
      </c>
      <c r="AY9" s="23">
        <v>1.5772358179092401</v>
      </c>
      <c r="AZ9" s="23"/>
      <c r="BA9" s="58" t="str">
        <f>IF(AY9&lt;1.4,"HE",IF(AND(AY9&gt;1.4,AY9&lt;2.2),"ME","NE"))</f>
        <v>ME</v>
      </c>
      <c r="BB9" s="23">
        <v>1.3801801204681401</v>
      </c>
      <c r="BC9" s="4">
        <f>ROUND(BB9,1)</f>
        <v>1.4</v>
      </c>
      <c r="BD9" s="23" t="b">
        <f t="shared" ref="BD9:BD30" si="16">IF(ISBLANK(BC9),"",IF(BC9&gt;=BD$1,TRUE,FALSE))</f>
        <v>1</v>
      </c>
      <c r="BE9" s="5" t="s">
        <v>82</v>
      </c>
      <c r="BF9" s="5" t="s">
        <v>82</v>
      </c>
      <c r="BG9" s="5">
        <v>346</v>
      </c>
      <c r="BH9" s="3">
        <v>9055.23</v>
      </c>
      <c r="BI9" s="3">
        <f t="shared" si="15"/>
        <v>0.99998699301276683</v>
      </c>
      <c r="BJ9" s="3">
        <v>0</v>
      </c>
      <c r="BK9" s="3">
        <f>IF(ISBLANK(BJ9),"",BJ9/($CH9*3.2808399*1000))</f>
        <v>0</v>
      </c>
      <c r="BL9" s="56">
        <f t="shared" ref="BL9:BL30" si="17">IF(ISBLANK(BK9),"",BK9+BI9)</f>
        <v>0.99998699301276683</v>
      </c>
      <c r="BM9" s="3" t="s">
        <v>160</v>
      </c>
      <c r="BN9" s="3">
        <v>4.6449999999999996</v>
      </c>
      <c r="BO9" s="3">
        <v>566.67578130000004</v>
      </c>
      <c r="BP9" s="3">
        <f t="shared" ref="BP9:BP30" si="18">IF(BO9=1093.9300537,BR9+BS9,BO9)</f>
        <v>566.67578130000004</v>
      </c>
      <c r="BQ9" s="57">
        <f t="shared" ref="BQ9:BQ30" si="19">IF(ISBLANK(BS9),"",BP9/(2*$CH9*3.2808399*1000))</f>
        <v>3.128956473526058E-2</v>
      </c>
      <c r="BR9" s="3">
        <v>206.1919</v>
      </c>
      <c r="BS9" s="3">
        <v>360.48390000000001</v>
      </c>
      <c r="BT9" s="3">
        <v>6.2664619999999998</v>
      </c>
      <c r="BU9" s="3">
        <v>3.717177</v>
      </c>
      <c r="BV9" s="3" t="s">
        <v>84</v>
      </c>
      <c r="BW9" s="23" t="s">
        <v>80</v>
      </c>
      <c r="BX9" s="3">
        <v>3.5743835843124301</v>
      </c>
      <c r="BY9" s="170">
        <f t="shared" ref="BY9:BY30" si="20">ROUND(BX9,2-(1+INT((LOG10(ABS(BX9))))))</f>
        <v>3.6</v>
      </c>
      <c r="BZ9" s="170">
        <f t="shared" si="7"/>
        <v>0</v>
      </c>
      <c r="CA9" s="170">
        <f t="shared" si="8"/>
        <v>0.60000000000000009</v>
      </c>
      <c r="CB9" s="170" t="str">
        <f t="shared" si="9"/>
        <v/>
      </c>
      <c r="CC9" s="170" t="str">
        <f t="shared" si="10"/>
        <v>3.6</v>
      </c>
      <c r="CD9" s="27"/>
      <c r="CE9" s="109" t="s">
        <v>19</v>
      </c>
      <c r="CF9" s="95">
        <v>141</v>
      </c>
      <c r="CG9" s="95">
        <v>117.78401927998399</v>
      </c>
      <c r="CH9" s="4">
        <f t="shared" si="1"/>
        <v>2.7600700000000002</v>
      </c>
      <c r="CI9" s="16">
        <v>2.4154879744189999E-3</v>
      </c>
      <c r="CJ9" s="7" t="str">
        <f t="shared" ref="CJ9:CJ30" si="21">IF(BW9="---",BW9,CONCATENATE(BW9," (",CC9,")"))</f>
        <v>SC (3.6)</v>
      </c>
      <c r="CK9" s="3" t="s">
        <v>129</v>
      </c>
      <c r="CL9" s="23">
        <v>1.5772358179092401</v>
      </c>
      <c r="CM9" s="4">
        <v>1.4</v>
      </c>
      <c r="CN9" s="148">
        <v>0.99998699301276683</v>
      </c>
      <c r="CO9" s="145" t="str">
        <f t="shared" ref="CO9:CO30" si="22">FW9</f>
        <v>---</v>
      </c>
      <c r="CP9" s="87" t="str">
        <f t="shared" ref="CP9:CP30" si="23">FY9</f>
        <v>---</v>
      </c>
      <c r="CQ9" s="109" t="s">
        <v>19</v>
      </c>
      <c r="CR9" s="5" t="s">
        <v>129</v>
      </c>
      <c r="CS9" s="137">
        <v>0</v>
      </c>
      <c r="CT9" s="95">
        <v>0</v>
      </c>
      <c r="CU9" s="95">
        <v>0</v>
      </c>
      <c r="CV9" s="95">
        <v>0</v>
      </c>
      <c r="CW9" s="95">
        <v>0</v>
      </c>
      <c r="CX9" s="96">
        <v>0</v>
      </c>
      <c r="CY9" s="137">
        <v>0.12761944868586303</v>
      </c>
      <c r="CZ9" s="95">
        <v>0.20705626313238143</v>
      </c>
      <c r="DA9" s="95">
        <v>0.22729125609780332</v>
      </c>
      <c r="DB9" s="95">
        <v>0.30546329095422181</v>
      </c>
      <c r="DC9" s="95">
        <v>0.44125034759469145</v>
      </c>
      <c r="DD9" s="96">
        <v>1.0623789251116493</v>
      </c>
      <c r="DE9" s="205">
        <v>170.02069640478601</v>
      </c>
      <c r="DF9" s="3">
        <v>282.080456875989</v>
      </c>
      <c r="DG9" s="3">
        <v>467.97511319843699</v>
      </c>
      <c r="DH9" s="3">
        <v>170.02069640478601</v>
      </c>
      <c r="DI9" s="3">
        <v>282.080456875989</v>
      </c>
      <c r="DJ9" s="3">
        <v>467.97511319843699</v>
      </c>
      <c r="DK9" s="92" t="str">
        <f>IF(FP9="Q1000","&gt;Q500",FP9)</f>
        <v>Q25</v>
      </c>
      <c r="DL9" s="95">
        <v>93.449662852611198</v>
      </c>
      <c r="DM9" s="95">
        <v>130.95075542190901</v>
      </c>
      <c r="DN9" s="95">
        <v>204.46256274397601</v>
      </c>
      <c r="DO9" s="95">
        <v>235.685654358802</v>
      </c>
      <c r="DP9" s="95">
        <v>274.26771122603299</v>
      </c>
      <c r="DQ9" s="96">
        <v>369.08031672416303</v>
      </c>
      <c r="DR9" t="b">
        <f t="shared" ref="DR9:DR32" si="24">EXACT(CE9,DS9)</f>
        <v>1</v>
      </c>
      <c r="DS9" t="s">
        <v>19</v>
      </c>
      <c r="DT9">
        <v>117.78401927998399</v>
      </c>
      <c r="EO9" s="163" t="s">
        <v>19</v>
      </c>
      <c r="EP9" s="92" t="str">
        <f t="shared" ref="EP9:EP30" si="25">IF(FT9="","---",IF(FT9="Q1000","&gt;Q500",FT9))</f>
        <v>---</v>
      </c>
      <c r="EQ9" s="22" t="b">
        <f t="shared" si="2"/>
        <v>1</v>
      </c>
      <c r="ER9" s="4">
        <v>1.4</v>
      </c>
      <c r="ES9" s="23">
        <v>1.5772358179092401</v>
      </c>
      <c r="ET9" s="58" t="str">
        <f>IF(ES9&lt;1.4,"HE",IF(AND(ES9&gt;1.4,ES9&lt;2.2),"ME","NE"))</f>
        <v>ME</v>
      </c>
      <c r="EU9" s="68" t="s">
        <v>19</v>
      </c>
      <c r="EV9" s="4">
        <v>2.7600700000000002</v>
      </c>
      <c r="EW9" s="16">
        <v>2.4154879744189999E-3</v>
      </c>
      <c r="EX9" s="5" t="s">
        <v>32</v>
      </c>
      <c r="EY9" t="s">
        <v>50</v>
      </c>
      <c r="EZ9" s="18" t="s">
        <v>208</v>
      </c>
      <c r="FA9" s="18" t="s">
        <v>208</v>
      </c>
      <c r="FB9" s="5" t="s">
        <v>0</v>
      </c>
      <c r="FC9" s="23" t="s">
        <v>80</v>
      </c>
      <c r="FD9" s="22"/>
      <c r="FE9" s="22"/>
      <c r="FF9" s="11"/>
      <c r="FG9" s="8">
        <v>0.13227383074280999</v>
      </c>
      <c r="FH9" s="9">
        <v>0.21171064518930999</v>
      </c>
      <c r="FI9" s="9">
        <v>0.23194563815468699</v>
      </c>
      <c r="FJ9" s="9">
        <v>0.31011767301120902</v>
      </c>
      <c r="FK9" s="9">
        <v>0.44590472965158101</v>
      </c>
      <c r="FL9" s="10">
        <v>1.0670333071686799</v>
      </c>
      <c r="FM9" s="14"/>
      <c r="FN9" s="3">
        <v>2760.07</v>
      </c>
      <c r="FO9" s="5">
        <v>25</v>
      </c>
      <c r="FP9" s="5" t="str">
        <f t="shared" si="3"/>
        <v>Q25</v>
      </c>
      <c r="FQ9" s="5">
        <v>0</v>
      </c>
      <c r="FR9" s="5" t="s">
        <v>44</v>
      </c>
      <c r="FS9" s="5"/>
      <c r="FT9" s="5"/>
      <c r="FU9" s="68" t="s">
        <v>19</v>
      </c>
      <c r="FV9" s="5"/>
      <c r="FW9" s="5" t="str">
        <f t="shared" si="4"/>
        <v>---</v>
      </c>
      <c r="FX9" s="5"/>
      <c r="FY9" s="5" t="str">
        <f t="shared" si="4"/>
        <v>---</v>
      </c>
      <c r="FZ9" s="5"/>
      <c r="GA9" s="4">
        <v>0</v>
      </c>
      <c r="GB9" s="5"/>
      <c r="GC9" s="5" t="str">
        <f t="shared" si="5"/>
        <v>na</v>
      </c>
      <c r="GE9" t="s">
        <v>19</v>
      </c>
      <c r="GF9">
        <v>93.449662852611198</v>
      </c>
      <c r="GG9">
        <v>130.95075542190901</v>
      </c>
      <c r="GH9">
        <v>204.46256274397601</v>
      </c>
      <c r="GI9">
        <v>235.685654358802</v>
      </c>
      <c r="GJ9">
        <v>274.26771122603299</v>
      </c>
      <c r="GK9">
        <v>369.08031672416303</v>
      </c>
      <c r="GM9" s="14"/>
      <c r="GN9" s="15">
        <v>2.4154879744189999E-3</v>
      </c>
      <c r="GO9">
        <v>170.02069640478601</v>
      </c>
      <c r="GP9">
        <v>282.080456875989</v>
      </c>
      <c r="GQ9">
        <v>467.97511319843699</v>
      </c>
      <c r="GR9">
        <v>64.767143096645398</v>
      </c>
      <c r="GS9">
        <v>85.857534325274102</v>
      </c>
      <c r="GT9">
        <v>126.903591185409</v>
      </c>
      <c r="GU9">
        <v>141.81214925656701</v>
      </c>
      <c r="GV9">
        <v>156.267130513154</v>
      </c>
      <c r="GW9">
        <v>183.49713572166499</v>
      </c>
      <c r="GX9" s="14"/>
      <c r="GY9" s="14"/>
      <c r="HD9">
        <v>1</v>
      </c>
      <c r="HE9">
        <f>IF(AND(HD9=1,ISBLANK(HC9)),1,"")</f>
        <v>1</v>
      </c>
      <c r="HG9">
        <v>1</v>
      </c>
      <c r="HH9">
        <f>SUM(HF9:HG9)</f>
        <v>1</v>
      </c>
      <c r="HI9" t="str">
        <f>IF(AND(HF9=1,ISBLANK(HG9)),1,"")</f>
        <v/>
      </c>
      <c r="HJ9" t="str">
        <f t="shared" si="6"/>
        <v>Entrenched</v>
      </c>
    </row>
    <row r="10" spans="1:221" x14ac:dyDescent="0.3">
      <c r="A10" s="128" t="s">
        <v>85</v>
      </c>
      <c r="B10" s="3">
        <v>119.83</v>
      </c>
      <c r="C10" s="3"/>
      <c r="D10" s="3"/>
      <c r="E10" s="3"/>
      <c r="F10" s="3"/>
      <c r="G10" s="3"/>
      <c r="H10" s="3"/>
      <c r="I10" s="3"/>
      <c r="J10" s="3"/>
      <c r="K10" s="3"/>
      <c r="L10" s="3"/>
      <c r="M10" s="3">
        <v>0</v>
      </c>
      <c r="N10" s="3">
        <v>0</v>
      </c>
      <c r="O10" s="3">
        <v>0</v>
      </c>
      <c r="P10" s="3">
        <v>0</v>
      </c>
      <c r="Q10" s="3">
        <v>0</v>
      </c>
      <c r="R10" s="3">
        <v>0</v>
      </c>
      <c r="S10" s="3"/>
      <c r="T10" s="3">
        <v>16</v>
      </c>
      <c r="U10" s="3" t="s">
        <v>161</v>
      </c>
      <c r="V10" s="3" t="s">
        <v>161</v>
      </c>
      <c r="W10" s="3">
        <v>2769.79</v>
      </c>
      <c r="X10" s="3">
        <f t="shared" si="11"/>
        <v>0.2848997356684082</v>
      </c>
      <c r="Y10" s="3">
        <v>983.98</v>
      </c>
      <c r="Z10" s="3">
        <f t="shared" si="12"/>
        <v>0.10121187595557797</v>
      </c>
      <c r="AA10" s="3">
        <f t="shared" si="0"/>
        <v>0.38611161162398616</v>
      </c>
      <c r="AB10" s="3">
        <v>7.64</v>
      </c>
      <c r="AC10" s="3">
        <v>1472.03</v>
      </c>
      <c r="AD10" s="3">
        <f t="shared" si="13"/>
        <v>0.15141254676201696</v>
      </c>
      <c r="AE10" s="3">
        <v>284.32</v>
      </c>
      <c r="AF10" s="3">
        <f t="shared" si="14"/>
        <v>2.9245066537622644E-2</v>
      </c>
      <c r="AG10" s="3">
        <v>9722</v>
      </c>
      <c r="AH10" s="3" t="s">
        <v>123</v>
      </c>
      <c r="AI10" s="3">
        <v>8</v>
      </c>
      <c r="AJ10" s="3">
        <v>1.14014303684235</v>
      </c>
      <c r="AK10" s="3">
        <v>616</v>
      </c>
      <c r="AL10" s="5">
        <v>19</v>
      </c>
      <c r="AM10" s="5" t="s">
        <v>85</v>
      </c>
      <c r="AN10" s="5" t="s">
        <v>81</v>
      </c>
      <c r="AO10" s="5">
        <v>13</v>
      </c>
      <c r="AP10" s="5">
        <v>0.61250000000000004</v>
      </c>
      <c r="AQ10" s="3" t="s">
        <v>88</v>
      </c>
      <c r="AR10" s="3" t="s">
        <v>85</v>
      </c>
      <c r="AS10" s="5" t="s">
        <v>1</v>
      </c>
      <c r="AT10" s="3" t="s">
        <v>120</v>
      </c>
      <c r="AU10" s="3" t="s">
        <v>81</v>
      </c>
      <c r="AV10" s="3"/>
      <c r="AW10" s="23" t="s">
        <v>88</v>
      </c>
      <c r="AX10" s="3" t="s">
        <v>129</v>
      </c>
      <c r="AY10" s="23">
        <v>3.0424644947052002</v>
      </c>
      <c r="AZ10" s="23"/>
      <c r="BA10" s="28" t="str">
        <f t="shared" ref="BA10:BA30" si="26">IF(AY10&lt;1.4,"HE",IF(AND(AY10&gt;1.4,AY10&lt;2.2),"ME","NE"))</f>
        <v>NE</v>
      </c>
      <c r="BB10" s="23">
        <v>1.6289978027343801</v>
      </c>
      <c r="BC10" s="4">
        <f t="shared" ref="BC10:BC30" si="27">ROUND(BB10,1)</f>
        <v>1.6</v>
      </c>
      <c r="BD10" s="23" t="b">
        <f t="shared" si="16"/>
        <v>1</v>
      </c>
      <c r="BE10" s="5" t="s">
        <v>82</v>
      </c>
      <c r="BF10" s="5" t="s">
        <v>82</v>
      </c>
      <c r="BG10" s="5">
        <v>500</v>
      </c>
      <c r="BH10" s="3">
        <v>7443.46</v>
      </c>
      <c r="BI10" s="3">
        <f t="shared" si="15"/>
        <v>0.76563197443068598</v>
      </c>
      <c r="BJ10" s="3">
        <v>2356.5</v>
      </c>
      <c r="BK10" s="3">
        <f>IF(ISBLANK(BJ10),"",BJ10/($CH10*3.2808399*1000))</f>
        <v>0.24238885514880332</v>
      </c>
      <c r="BL10" s="56">
        <f t="shared" si="17"/>
        <v>1.0080208295794892</v>
      </c>
      <c r="BM10" s="3" t="s">
        <v>162</v>
      </c>
      <c r="BN10" s="3">
        <v>3.2730000000000001</v>
      </c>
      <c r="BO10" s="3">
        <v>3287.9499512000002</v>
      </c>
      <c r="BP10" s="3">
        <f t="shared" si="18"/>
        <v>3287.9499512000002</v>
      </c>
      <c r="BQ10" s="57">
        <f t="shared" si="19"/>
        <v>0.16909875333289451</v>
      </c>
      <c r="BR10" s="3">
        <v>1139.23</v>
      </c>
      <c r="BS10" s="3">
        <v>2148.7199999999998</v>
      </c>
      <c r="BT10" s="3">
        <v>3.0008599999999999</v>
      </c>
      <c r="BU10" s="3">
        <v>3.4174859999999998</v>
      </c>
      <c r="BV10" s="3" t="s">
        <v>87</v>
      </c>
      <c r="BW10" s="23" t="s">
        <v>88</v>
      </c>
      <c r="BX10" s="3">
        <v>5.1406158724860198</v>
      </c>
      <c r="BY10" s="170">
        <f t="shared" si="20"/>
        <v>5.0999999999999996</v>
      </c>
      <c r="BZ10" s="170">
        <f t="shared" si="7"/>
        <v>0</v>
      </c>
      <c r="CA10" s="170">
        <f t="shared" si="8"/>
        <v>9.9999999999999645E-2</v>
      </c>
      <c r="CB10" s="170" t="str">
        <f t="shared" si="9"/>
        <v/>
      </c>
      <c r="CC10" s="170" t="str">
        <f t="shared" si="10"/>
        <v>5.1</v>
      </c>
      <c r="CD10" s="27"/>
      <c r="CE10" s="109" t="s">
        <v>20</v>
      </c>
      <c r="CF10" s="95">
        <v>139</v>
      </c>
      <c r="CG10" s="95">
        <v>124.75578996767101</v>
      </c>
      <c r="CH10" s="4">
        <f t="shared" si="1"/>
        <v>2.96326</v>
      </c>
      <c r="CI10" s="16">
        <v>1.7886953094548E-3</v>
      </c>
      <c r="CJ10" s="7" t="str">
        <f t="shared" si="21"/>
        <v>NW (5.1)</v>
      </c>
      <c r="CK10" s="3" t="s">
        <v>129</v>
      </c>
      <c r="CL10" s="23">
        <v>3.0424644947052002</v>
      </c>
      <c r="CM10" s="4">
        <v>1.6</v>
      </c>
      <c r="CN10" s="148">
        <v>1</v>
      </c>
      <c r="CO10" s="145" t="str">
        <f t="shared" si="22"/>
        <v>Q2</v>
      </c>
      <c r="CP10" s="87" t="str">
        <f t="shared" si="23"/>
        <v>---</v>
      </c>
      <c r="CQ10" s="109" t="s">
        <v>20</v>
      </c>
      <c r="CR10" s="5" t="s">
        <v>129</v>
      </c>
      <c r="CS10" s="137">
        <v>32.672462085675903</v>
      </c>
      <c r="CT10" s="95">
        <v>32.672462085675903</v>
      </c>
      <c r="CU10" s="95">
        <v>32.672462085675903</v>
      </c>
      <c r="CV10" s="95">
        <v>32.672462085675903</v>
      </c>
      <c r="CW10" s="95">
        <v>32.672462085675903</v>
      </c>
      <c r="CX10" s="96">
        <v>32.672462085675903</v>
      </c>
      <c r="CY10" s="137">
        <v>2.321445315147908</v>
      </c>
      <c r="CZ10" s="95">
        <v>2.5012131674082765</v>
      </c>
      <c r="DA10" s="95">
        <v>2.5288452357088138</v>
      </c>
      <c r="DB10" s="95">
        <v>2.5367200529131293</v>
      </c>
      <c r="DC10" s="95">
        <v>2.5802023348956924</v>
      </c>
      <c r="DD10" s="96">
        <v>2.6187687221195541</v>
      </c>
      <c r="DE10" s="205">
        <v>77.892847846711703</v>
      </c>
      <c r="DF10" s="3">
        <v>204.20160038779201</v>
      </c>
      <c r="DG10" s="3">
        <v>411.22854439845099</v>
      </c>
      <c r="DH10" s="3">
        <v>77.892847846711703</v>
      </c>
      <c r="DI10" s="3">
        <v>204.20160038779201</v>
      </c>
      <c r="DJ10" s="3">
        <v>411.22854439845099</v>
      </c>
      <c r="DK10" s="92" t="str">
        <f>IF(FP10="Q1000","&gt;Q500",FP10)</f>
        <v>Q5</v>
      </c>
      <c r="DL10" s="95">
        <v>72.238309444652501</v>
      </c>
      <c r="DM10" s="95">
        <v>96.1549612954324</v>
      </c>
      <c r="DN10" s="95">
        <v>140.475668622098</v>
      </c>
      <c r="DO10" s="95">
        <v>162.14671255845599</v>
      </c>
      <c r="DP10" s="95">
        <v>178.31180583655299</v>
      </c>
      <c r="DQ10" s="96">
        <v>232.69238882405</v>
      </c>
      <c r="DR10" t="b">
        <f t="shared" si="24"/>
        <v>1</v>
      </c>
      <c r="DS10" t="s">
        <v>20</v>
      </c>
      <c r="DT10">
        <v>124.75578996767101</v>
      </c>
      <c r="EO10" s="163" t="s">
        <v>20</v>
      </c>
      <c r="EP10" s="92" t="str">
        <f t="shared" si="25"/>
        <v>Q2</v>
      </c>
      <c r="EQ10" s="22" t="b">
        <f t="shared" si="2"/>
        <v>1</v>
      </c>
      <c r="ER10" s="4">
        <v>1.6</v>
      </c>
      <c r="ES10" s="58">
        <v>3.0424644947052002</v>
      </c>
      <c r="ET10" s="28" t="str">
        <f t="shared" ref="ET10:ET30" si="28">IF(ES10&lt;1.4,"HE",IF(AND(ES10&gt;1.4,ES10&lt;2.2),"ME","NE"))</f>
        <v>NE</v>
      </c>
      <c r="EU10" s="68" t="s">
        <v>20</v>
      </c>
      <c r="EV10" s="4">
        <v>2.96326</v>
      </c>
      <c r="EW10" s="16">
        <v>1.7886953094548E-3</v>
      </c>
      <c r="EX10" s="5" t="s">
        <v>31</v>
      </c>
      <c r="EY10" s="74" t="s">
        <v>30</v>
      </c>
      <c r="EZ10" s="77" t="s">
        <v>86</v>
      </c>
      <c r="FA10" s="77" t="s">
        <v>86</v>
      </c>
      <c r="FB10" s="78" t="s">
        <v>1</v>
      </c>
      <c r="FC10" s="58" t="s">
        <v>88</v>
      </c>
      <c r="FD10" s="22"/>
      <c r="FE10" s="22"/>
      <c r="FF10" s="11"/>
      <c r="FG10" s="8">
        <v>2.3215187496730598</v>
      </c>
      <c r="FH10" s="9">
        <v>2.50128660193334</v>
      </c>
      <c r="FI10" s="9">
        <v>2.5289186702338902</v>
      </c>
      <c r="FJ10" s="9">
        <v>2.5367934874381799</v>
      </c>
      <c r="FK10" s="9">
        <v>2.58027576942085</v>
      </c>
      <c r="FL10" s="10">
        <v>2.61884215664469</v>
      </c>
      <c r="FM10" s="14"/>
      <c r="FN10" s="3">
        <v>2963.26</v>
      </c>
      <c r="FO10" s="5">
        <v>5</v>
      </c>
      <c r="FP10" s="5" t="str">
        <f t="shared" si="3"/>
        <v>Q5</v>
      </c>
      <c r="FQ10" s="5">
        <v>168094</v>
      </c>
      <c r="FR10" s="5">
        <v>168094</v>
      </c>
      <c r="FS10" s="5">
        <v>2</v>
      </c>
      <c r="FT10" s="5" t="str">
        <f>IF(ISBLANK(FS10),"na",CONCATENATE("Q",FS10))</f>
        <v>Q2</v>
      </c>
      <c r="FU10" s="68" t="s">
        <v>20</v>
      </c>
      <c r="FV10" s="5">
        <v>2</v>
      </c>
      <c r="FW10" s="5" t="str">
        <f t="shared" si="4"/>
        <v>Q2</v>
      </c>
      <c r="FX10" s="5"/>
      <c r="FY10" s="5" t="str">
        <f t="shared" si="4"/>
        <v>---</v>
      </c>
      <c r="FZ10" s="5">
        <v>0.5</v>
      </c>
      <c r="GA10" s="4">
        <v>56.726038214668897</v>
      </c>
      <c r="GB10" s="5">
        <v>56.726038214668897</v>
      </c>
      <c r="GC10" s="4">
        <f t="shared" si="5"/>
        <v>56.726038214668897</v>
      </c>
      <c r="GE10" t="s">
        <v>20</v>
      </c>
      <c r="GF10">
        <v>72.238309444652501</v>
      </c>
      <c r="GG10">
        <v>96.1549612954324</v>
      </c>
      <c r="GH10">
        <v>140.475668622098</v>
      </c>
      <c r="GI10">
        <v>162.14671255845599</v>
      </c>
      <c r="GJ10">
        <v>178.31180583655299</v>
      </c>
      <c r="GK10">
        <v>232.69238882405</v>
      </c>
      <c r="GL10" s="19"/>
      <c r="GM10" s="14"/>
      <c r="GN10" s="15">
        <v>1.7886953094548E-3</v>
      </c>
      <c r="GO10">
        <v>77.892847846711703</v>
      </c>
      <c r="GP10">
        <v>204.20160038779201</v>
      </c>
      <c r="GQ10">
        <v>411.22854439845099</v>
      </c>
      <c r="GR10">
        <v>30.266374600366301</v>
      </c>
      <c r="GS10">
        <v>37.822376834068301</v>
      </c>
      <c r="GT10">
        <v>55.172954111208902</v>
      </c>
      <c r="GU10">
        <v>63.909799179547598</v>
      </c>
      <c r="GV10">
        <v>69.708281355820901</v>
      </c>
      <c r="GW10">
        <v>91.462620233294899</v>
      </c>
      <c r="GX10" s="14"/>
      <c r="GY10" s="14"/>
      <c r="HC10">
        <v>1</v>
      </c>
      <c r="HD10">
        <v>1</v>
      </c>
      <c r="HE10" t="str">
        <f t="shared" ref="HE10:HE30" si="29">IF(AND(HD10=1,ISBLANK(HC10)),1,"")</f>
        <v/>
      </c>
      <c r="HF10">
        <v>1</v>
      </c>
      <c r="HG10">
        <v>1</v>
      </c>
      <c r="HH10">
        <f t="shared" ref="HH10:HH30" si="30">SUM(HF10:HG10)</f>
        <v>2</v>
      </c>
      <c r="HI10" t="str">
        <f t="shared" ref="HI10:HI30" si="31">IF(AND(HF10=1,ISBLANK(HG10)),1,"")</f>
        <v/>
      </c>
      <c r="HJ10" t="str">
        <f t="shared" si="6"/>
        <v/>
      </c>
      <c r="HK10" t="b">
        <f>ISNUMBER(CL6)</f>
        <v>0</v>
      </c>
    </row>
    <row r="11" spans="1:221" x14ac:dyDescent="0.3">
      <c r="A11" s="128" t="s">
        <v>124</v>
      </c>
      <c r="B11" s="3">
        <v>116.72</v>
      </c>
      <c r="C11" s="3"/>
      <c r="D11" s="3"/>
      <c r="E11" s="3"/>
      <c r="F11" s="3"/>
      <c r="G11" s="3"/>
      <c r="H11" s="3"/>
      <c r="I11" s="3"/>
      <c r="J11" s="3"/>
      <c r="K11" s="3"/>
      <c r="L11" s="3"/>
      <c r="M11" s="3">
        <v>0</v>
      </c>
      <c r="N11" s="3">
        <v>0</v>
      </c>
      <c r="O11" s="3">
        <v>0</v>
      </c>
      <c r="P11" s="3">
        <v>0</v>
      </c>
      <c r="Q11" s="3">
        <v>0</v>
      </c>
      <c r="R11" s="3">
        <v>0</v>
      </c>
      <c r="S11" s="3"/>
      <c r="T11" s="3"/>
      <c r="U11" s="3" t="s">
        <v>128</v>
      </c>
      <c r="V11" s="3" t="s">
        <v>128</v>
      </c>
      <c r="W11" s="3">
        <v>231.97989999999999</v>
      </c>
      <c r="X11" s="3">
        <f t="shared" si="11"/>
        <v>8.9133621269452123E-2</v>
      </c>
      <c r="Y11" s="3">
        <v>931.7826</v>
      </c>
      <c r="Z11" s="3">
        <f t="shared" si="12"/>
        <v>0.35801876530624166</v>
      </c>
      <c r="AA11" s="3">
        <f t="shared" si="0"/>
        <v>0.44715238657569378</v>
      </c>
      <c r="AB11" s="3">
        <v>10.1</v>
      </c>
      <c r="AC11" s="3">
        <v>2371.5740000000001</v>
      </c>
      <c r="AD11" s="3">
        <f t="shared" si="13"/>
        <v>0.911229717438794</v>
      </c>
      <c r="AE11" s="3">
        <v>227.12129999999999</v>
      </c>
      <c r="AF11" s="3">
        <f t="shared" si="14"/>
        <v>8.7266801720431886E-2</v>
      </c>
      <c r="AG11" s="3">
        <v>2603</v>
      </c>
      <c r="AH11" s="3" t="s">
        <v>123</v>
      </c>
      <c r="AI11" s="3"/>
      <c r="AJ11" s="3">
        <v>1.07650947570801</v>
      </c>
      <c r="AK11" s="3">
        <v>707</v>
      </c>
      <c r="AL11" s="5">
        <v>22</v>
      </c>
      <c r="AM11" s="5" t="s">
        <v>91</v>
      </c>
      <c r="AN11" s="5" t="s">
        <v>86</v>
      </c>
      <c r="AO11" s="5">
        <v>7</v>
      </c>
      <c r="AP11" s="5">
        <v>0.58750000000000002</v>
      </c>
      <c r="AQ11" s="3" t="s">
        <v>89</v>
      </c>
      <c r="AR11" s="3" t="s">
        <v>85</v>
      </c>
      <c r="AS11" s="5" t="s">
        <v>1</v>
      </c>
      <c r="AT11" s="3" t="s">
        <v>120</v>
      </c>
      <c r="AU11" s="3" t="s">
        <v>81</v>
      </c>
      <c r="AV11" s="3"/>
      <c r="AW11" s="23" t="s">
        <v>80</v>
      </c>
      <c r="AX11" s="3" t="s">
        <v>127</v>
      </c>
      <c r="AY11" s="23">
        <v>1.7247385978698699</v>
      </c>
      <c r="AZ11" s="23"/>
      <c r="BA11" s="58" t="str">
        <f t="shared" si="26"/>
        <v>ME</v>
      </c>
      <c r="BB11" s="23">
        <v>1.69463098049164</v>
      </c>
      <c r="BC11" s="4">
        <f t="shared" si="27"/>
        <v>1.7</v>
      </c>
      <c r="BD11" s="23" t="b">
        <f t="shared" si="16"/>
        <v>1</v>
      </c>
      <c r="BE11" s="5" t="s">
        <v>90</v>
      </c>
      <c r="BF11" s="5" t="s">
        <v>82</v>
      </c>
      <c r="BG11" s="5">
        <v>373</v>
      </c>
      <c r="BH11" s="3">
        <v>1851.144</v>
      </c>
      <c r="BI11" s="3">
        <f t="shared" si="15"/>
        <v>0.71126493377753286</v>
      </c>
      <c r="BJ11" s="3">
        <v>550.82349999999997</v>
      </c>
      <c r="BK11" s="3">
        <f>IF(ISBLANK(BJ11),"",BJ11/($CH11*3.2808399*1000))</f>
        <v>0.21164287610829241</v>
      </c>
      <c r="BL11" s="56">
        <f t="shared" si="17"/>
        <v>0.92290780988582521</v>
      </c>
      <c r="BM11" s="3" t="s">
        <v>160</v>
      </c>
      <c r="BN11" s="3">
        <v>2.1579999999999999</v>
      </c>
      <c r="BO11" s="3">
        <v>647.15386960000001</v>
      </c>
      <c r="BP11" s="3">
        <f t="shared" si="18"/>
        <v>647.15386960000001</v>
      </c>
      <c r="BQ11" s="57">
        <f t="shared" si="19"/>
        <v>0.12432794374854635</v>
      </c>
      <c r="BR11" s="3">
        <v>544.97190000000001</v>
      </c>
      <c r="BS11" s="3">
        <v>102.1819</v>
      </c>
      <c r="BT11" s="3">
        <v>2</v>
      </c>
      <c r="BU11" s="3">
        <v>3</v>
      </c>
      <c r="BV11" s="3" t="s">
        <v>87</v>
      </c>
      <c r="BW11" s="23" t="s">
        <v>80</v>
      </c>
      <c r="BX11" s="3">
        <v>6.0572309801233697</v>
      </c>
      <c r="BY11" s="170">
        <f t="shared" si="20"/>
        <v>6.1</v>
      </c>
      <c r="BZ11" s="170">
        <f t="shared" si="7"/>
        <v>0</v>
      </c>
      <c r="CA11" s="170">
        <f t="shared" si="8"/>
        <v>9.9999999999999645E-2</v>
      </c>
      <c r="CB11" s="170" t="str">
        <f t="shared" si="9"/>
        <v/>
      </c>
      <c r="CC11" s="170" t="str">
        <f t="shared" si="10"/>
        <v>6.1</v>
      </c>
      <c r="CD11" s="27"/>
      <c r="CE11" s="109" t="s">
        <v>2</v>
      </c>
      <c r="CF11" s="95">
        <v>132</v>
      </c>
      <c r="CG11" s="95">
        <v>196.472259490233</v>
      </c>
      <c r="CH11" s="4">
        <f t="shared" si="1"/>
        <v>0.79327499999999995</v>
      </c>
      <c r="CI11" s="16">
        <v>1.5332363633946001E-3</v>
      </c>
      <c r="CJ11" s="7" t="str">
        <f t="shared" si="21"/>
        <v>SC (6.1)</v>
      </c>
      <c r="CK11" s="3" t="s">
        <v>129</v>
      </c>
      <c r="CL11" s="23">
        <v>1.7247385978698699</v>
      </c>
      <c r="CM11" s="4">
        <v>1.7</v>
      </c>
      <c r="CN11" s="148">
        <v>0.92290780988582521</v>
      </c>
      <c r="CO11" s="145" t="str">
        <f t="shared" si="22"/>
        <v>Q100</v>
      </c>
      <c r="CP11" s="87" t="str">
        <f t="shared" si="23"/>
        <v>Q2</v>
      </c>
      <c r="CQ11" s="109" t="s">
        <v>2</v>
      </c>
      <c r="CR11" s="5" t="s">
        <v>129</v>
      </c>
      <c r="CS11" s="137">
        <v>0</v>
      </c>
      <c r="CT11" s="95">
        <v>0</v>
      </c>
      <c r="CU11" s="95">
        <v>0</v>
      </c>
      <c r="CV11" s="95">
        <v>0</v>
      </c>
      <c r="CW11" s="95">
        <v>12.2731713466326</v>
      </c>
      <c r="CX11" s="96">
        <v>199.76426838107801</v>
      </c>
      <c r="CY11" s="137">
        <v>5.7069543685761559</v>
      </c>
      <c r="CZ11" s="95">
        <v>12.593038698273158</v>
      </c>
      <c r="DA11" s="95">
        <v>14.303316293852069</v>
      </c>
      <c r="DB11" s="95">
        <v>14.359468536540419</v>
      </c>
      <c r="DC11" s="95">
        <v>15.636107444276197</v>
      </c>
      <c r="DD11" s="96">
        <v>18.908927410056286</v>
      </c>
      <c r="DE11" s="205">
        <v>139.37132086486301</v>
      </c>
      <c r="DF11" s="3">
        <v>397.16283997791601</v>
      </c>
      <c r="DG11" s="3">
        <v>1271.4143415188901</v>
      </c>
      <c r="DH11" s="3">
        <v>139.37132086486301</v>
      </c>
      <c r="DI11" s="3">
        <v>397.16283997791601</v>
      </c>
      <c r="DJ11" s="3">
        <v>1271.4143415188901</v>
      </c>
      <c r="DK11" s="92" t="str">
        <f>IF(FP11="Q1000","&gt;Q500",FP11)</f>
        <v>Q100</v>
      </c>
      <c r="DL11" s="95">
        <v>57.730233318255102</v>
      </c>
      <c r="DM11" s="95">
        <v>81.896132605717497</v>
      </c>
      <c r="DN11" s="95">
        <v>112.723847443701</v>
      </c>
      <c r="DO11" s="95">
        <v>127.61254751385999</v>
      </c>
      <c r="DP11" s="95">
        <v>143.404503162634</v>
      </c>
      <c r="DQ11" s="96">
        <v>178.38847391407199</v>
      </c>
      <c r="DR11" t="b">
        <f t="shared" si="24"/>
        <v>1</v>
      </c>
      <c r="DS11" t="s">
        <v>2</v>
      </c>
      <c r="DT11">
        <v>196.472259490233</v>
      </c>
      <c r="EO11" s="163" t="s">
        <v>2</v>
      </c>
      <c r="EP11" s="92" t="str">
        <f t="shared" si="25"/>
        <v>Q2</v>
      </c>
      <c r="EQ11" s="22" t="b">
        <f t="shared" si="2"/>
        <v>1</v>
      </c>
      <c r="ER11" s="4">
        <v>1.7</v>
      </c>
      <c r="ES11" s="23">
        <v>1.7247385978698699</v>
      </c>
      <c r="ET11" s="58" t="str">
        <f t="shared" si="28"/>
        <v>ME</v>
      </c>
      <c r="EU11" s="68" t="s">
        <v>2</v>
      </c>
      <c r="EV11" s="4">
        <v>0.79327499999999995</v>
      </c>
      <c r="EW11" s="16">
        <v>1.5332363633946001E-3</v>
      </c>
      <c r="EX11" s="5" t="s">
        <v>34</v>
      </c>
      <c r="EY11" t="s">
        <v>30</v>
      </c>
      <c r="EZ11" s="18" t="s">
        <v>208</v>
      </c>
      <c r="FA11" s="18" t="s">
        <v>86</v>
      </c>
      <c r="FB11" s="5" t="s">
        <v>1</v>
      </c>
      <c r="FC11" s="23" t="s">
        <v>80</v>
      </c>
      <c r="FD11" s="22"/>
      <c r="FE11" s="22"/>
      <c r="FF11" s="11"/>
      <c r="FG11" s="8">
        <v>5.70823000738116</v>
      </c>
      <c r="FH11" s="9">
        <v>12.5943143370783</v>
      </c>
      <c r="FI11" s="9">
        <v>14.3045919326569</v>
      </c>
      <c r="FJ11" s="9">
        <v>14.3607441753456</v>
      </c>
      <c r="FK11" s="9">
        <v>15.637383083081399</v>
      </c>
      <c r="FL11" s="10">
        <v>18.910203048861799</v>
      </c>
      <c r="FM11" s="14"/>
      <c r="FN11" s="3">
        <v>793.27499999999998</v>
      </c>
      <c r="FO11" s="5">
        <v>100</v>
      </c>
      <c r="FP11" s="5" t="str">
        <f t="shared" si="3"/>
        <v>Q100</v>
      </c>
      <c r="FQ11" s="5">
        <v>178499</v>
      </c>
      <c r="FR11" s="5">
        <v>28157</v>
      </c>
      <c r="FS11" s="5">
        <v>2</v>
      </c>
      <c r="FT11" s="5" t="str">
        <f>IF(ISBLANK(FS11),"na",CONCATENATE("Q",FS11))</f>
        <v>Q2</v>
      </c>
      <c r="FU11" s="68" t="s">
        <v>2</v>
      </c>
      <c r="FV11" s="5">
        <v>100</v>
      </c>
      <c r="FW11" s="5" t="str">
        <f t="shared" si="4"/>
        <v>Q100</v>
      </c>
      <c r="FX11" s="5">
        <v>2</v>
      </c>
      <c r="FY11" s="5" t="str">
        <f t="shared" si="4"/>
        <v>Q2</v>
      </c>
      <c r="FZ11" s="5">
        <v>0.5</v>
      </c>
      <c r="GA11" s="4">
        <v>225.01528473732299</v>
      </c>
      <c r="GB11" s="5">
        <v>35.494626705745098</v>
      </c>
      <c r="GC11" s="4">
        <f t="shared" si="5"/>
        <v>35.494626705745098</v>
      </c>
      <c r="GE11" t="s">
        <v>2</v>
      </c>
      <c r="GF11">
        <v>57.730233318255102</v>
      </c>
      <c r="GG11">
        <v>81.896132605717497</v>
      </c>
      <c r="GH11">
        <v>112.723847443701</v>
      </c>
      <c r="GI11">
        <v>127.61254751385999</v>
      </c>
      <c r="GJ11">
        <v>143.404503162634</v>
      </c>
      <c r="GK11">
        <v>178.38847391407199</v>
      </c>
      <c r="GL11" s="19"/>
      <c r="GM11" s="14"/>
      <c r="GN11" s="15">
        <v>1.5332363633946001E-3</v>
      </c>
      <c r="GO11">
        <v>139.37132086486301</v>
      </c>
      <c r="GP11">
        <v>397.16283997791601</v>
      </c>
      <c r="GQ11">
        <v>1271.4143415188901</v>
      </c>
      <c r="GR11">
        <v>28.802874970265599</v>
      </c>
      <c r="GS11">
        <v>37.025404340878801</v>
      </c>
      <c r="GT11">
        <v>41.055971029910602</v>
      </c>
      <c r="GU11">
        <v>45.676405671218298</v>
      </c>
      <c r="GV11">
        <v>50.712401909964903</v>
      </c>
      <c r="GW11">
        <v>51.039126733966398</v>
      </c>
      <c r="GX11" s="14"/>
      <c r="GY11" s="14"/>
      <c r="HE11" t="str">
        <f t="shared" si="29"/>
        <v/>
      </c>
      <c r="HF11">
        <v>1</v>
      </c>
      <c r="HH11">
        <f t="shared" si="30"/>
        <v>1</v>
      </c>
      <c r="HI11">
        <f t="shared" si="31"/>
        <v>1</v>
      </c>
      <c r="HJ11" t="str">
        <f t="shared" si="6"/>
        <v>Entrenched</v>
      </c>
    </row>
    <row r="12" spans="1:221" x14ac:dyDescent="0.3">
      <c r="A12" s="128"/>
      <c r="B12" s="3">
        <v>116.59</v>
      </c>
      <c r="C12" s="3"/>
      <c r="D12" s="3"/>
      <c r="E12" s="3"/>
      <c r="F12" s="3"/>
      <c r="G12" s="3"/>
      <c r="H12" s="3"/>
      <c r="I12" s="3"/>
      <c r="J12" s="3"/>
      <c r="K12" s="3"/>
      <c r="L12" s="3"/>
      <c r="M12" s="3"/>
      <c r="N12" s="3"/>
      <c r="O12" s="3"/>
      <c r="P12" s="3"/>
      <c r="Q12" s="3"/>
      <c r="R12" s="3"/>
      <c r="S12" s="3"/>
      <c r="T12" s="3"/>
      <c r="U12" s="3"/>
      <c r="V12" s="3"/>
      <c r="W12" s="3"/>
      <c r="X12" s="3" t="str">
        <f t="shared" si="11"/>
        <v/>
      </c>
      <c r="Y12" s="3"/>
      <c r="Z12" s="3" t="str">
        <f t="shared" si="12"/>
        <v/>
      </c>
      <c r="AA12" s="3">
        <f t="shared" si="0"/>
        <v>0</v>
      </c>
      <c r="AB12" s="3"/>
      <c r="AC12" s="3"/>
      <c r="AD12" s="3" t="str">
        <f t="shared" si="13"/>
        <v/>
      </c>
      <c r="AE12" s="3"/>
      <c r="AF12" s="3" t="str">
        <f t="shared" si="14"/>
        <v/>
      </c>
      <c r="AG12" s="3"/>
      <c r="AH12" s="33" t="s">
        <v>119</v>
      </c>
      <c r="AI12" s="33"/>
      <c r="AJ12" s="33">
        <v>1.0557880401611299</v>
      </c>
      <c r="AK12" s="33">
        <v>356</v>
      </c>
      <c r="AL12" s="32"/>
      <c r="AM12" s="32"/>
      <c r="AN12" s="32"/>
      <c r="AO12" s="32"/>
      <c r="AP12" s="32"/>
      <c r="AQ12" s="33" t="s">
        <v>80</v>
      </c>
      <c r="AR12" s="33"/>
      <c r="AS12" s="32" t="s">
        <v>5</v>
      </c>
      <c r="AT12" s="33" t="s">
        <v>122</v>
      </c>
      <c r="AU12" s="33"/>
      <c r="AV12" s="33" t="s">
        <v>86</v>
      </c>
      <c r="AW12" s="35" t="s">
        <v>50</v>
      </c>
      <c r="AX12" s="33" t="s">
        <v>130</v>
      </c>
      <c r="AY12" s="35" t="s">
        <v>50</v>
      </c>
      <c r="AZ12" s="35"/>
      <c r="BA12" s="34" t="str">
        <f t="shared" si="26"/>
        <v>NE</v>
      </c>
      <c r="BB12" s="35" t="s">
        <v>50</v>
      </c>
      <c r="BC12" s="29"/>
      <c r="BD12" s="34" t="str">
        <f t="shared" si="16"/>
        <v/>
      </c>
      <c r="BE12" s="32"/>
      <c r="BF12" s="32"/>
      <c r="BG12" s="32"/>
      <c r="BH12" s="33"/>
      <c r="BI12" s="33" t="str">
        <f t="shared" si="15"/>
        <v/>
      </c>
      <c r="BJ12" s="33"/>
      <c r="BK12" s="33"/>
      <c r="BL12" s="54" t="str">
        <f t="shared" si="17"/>
        <v/>
      </c>
      <c r="BM12" s="33"/>
      <c r="BN12" s="33"/>
      <c r="BO12" s="33"/>
      <c r="BP12" s="33">
        <f t="shared" si="18"/>
        <v>0</v>
      </c>
      <c r="BQ12" s="55" t="str">
        <f t="shared" si="19"/>
        <v/>
      </c>
      <c r="BR12" s="33"/>
      <c r="BS12" s="33"/>
      <c r="BT12" s="33"/>
      <c r="BU12" s="33"/>
      <c r="BV12" s="33"/>
      <c r="BW12" s="7" t="s">
        <v>50</v>
      </c>
      <c r="BX12" s="33">
        <v>3.0534351145038201</v>
      </c>
      <c r="BY12" s="170">
        <f t="shared" si="20"/>
        <v>3.1</v>
      </c>
      <c r="BZ12" s="170">
        <f t="shared" si="7"/>
        <v>0</v>
      </c>
      <c r="CA12" s="170">
        <f t="shared" si="8"/>
        <v>0.10000000000000009</v>
      </c>
      <c r="CB12" s="170" t="str">
        <f t="shared" si="9"/>
        <v/>
      </c>
      <c r="CC12" s="170" t="str">
        <f t="shared" si="10"/>
        <v>3.1</v>
      </c>
      <c r="CD12" s="27"/>
      <c r="CE12" s="109" t="s">
        <v>39</v>
      </c>
      <c r="CF12" s="95">
        <v>131</v>
      </c>
      <c r="CG12" s="171" t="s">
        <v>50</v>
      </c>
      <c r="CH12" s="4">
        <f t="shared" si="1"/>
        <v>0.230849</v>
      </c>
      <c r="CI12" s="16">
        <v>1.7566224084452901E-2</v>
      </c>
      <c r="CJ12" s="7" t="str">
        <f t="shared" si="21"/>
        <v>---</v>
      </c>
      <c r="CK12" s="3" t="s">
        <v>122</v>
      </c>
      <c r="CL12" s="7" t="s">
        <v>50</v>
      </c>
      <c r="CM12" s="97" t="s">
        <v>50</v>
      </c>
      <c r="CN12" s="147" t="s">
        <v>50</v>
      </c>
      <c r="CO12" s="145" t="str">
        <f t="shared" si="22"/>
        <v>Q100</v>
      </c>
      <c r="CP12" s="87" t="str">
        <f t="shared" si="23"/>
        <v>---</v>
      </c>
      <c r="CQ12" s="109" t="s">
        <v>39</v>
      </c>
      <c r="CR12" s="5" t="s">
        <v>122</v>
      </c>
      <c r="CS12" s="137">
        <v>0</v>
      </c>
      <c r="CT12" s="95">
        <v>0</v>
      </c>
      <c r="CU12" s="95">
        <v>0</v>
      </c>
      <c r="CV12" s="95">
        <v>0</v>
      </c>
      <c r="CW12" s="95">
        <v>11.7046207694207</v>
      </c>
      <c r="CX12" s="96">
        <v>14.156439923932901</v>
      </c>
      <c r="CY12" s="137">
        <v>4.6543969894823024E-3</v>
      </c>
      <c r="CZ12" s="95">
        <v>4.6543969894823024E-3</v>
      </c>
      <c r="DA12" s="95">
        <v>5.8714699809520945E-3</v>
      </c>
      <c r="DB12" s="95">
        <v>7.3879000634000588E-3</v>
      </c>
      <c r="DC12" s="95">
        <v>5.0693914222269973E-2</v>
      </c>
      <c r="DD12" s="96">
        <v>5.2214235825047979E-2</v>
      </c>
      <c r="DE12" s="204" t="s">
        <v>50</v>
      </c>
      <c r="DF12" s="7" t="s">
        <v>50</v>
      </c>
      <c r="DG12" s="7" t="s">
        <v>50</v>
      </c>
      <c r="DH12" s="7" t="s">
        <v>50</v>
      </c>
      <c r="DI12" s="7" t="s">
        <v>50</v>
      </c>
      <c r="DJ12" s="7" t="s">
        <v>50</v>
      </c>
      <c r="DK12" s="136" t="s">
        <v>50</v>
      </c>
      <c r="DL12" s="95">
        <v>1297.05269822949</v>
      </c>
      <c r="DM12" s="95">
        <v>1798.1535897070601</v>
      </c>
      <c r="DN12" s="95">
        <v>2942.6253974320498</v>
      </c>
      <c r="DO12" s="95">
        <v>3477.0782066296001</v>
      </c>
      <c r="DP12" s="95">
        <v>3966.2471954601301</v>
      </c>
      <c r="DQ12" s="96">
        <v>5282.0421105568303</v>
      </c>
      <c r="DR12" t="b">
        <f t="shared" si="24"/>
        <v>0</v>
      </c>
      <c r="EO12" s="163" t="s">
        <v>39</v>
      </c>
      <c r="EP12" s="92" t="str">
        <f t="shared" si="25"/>
        <v>---</v>
      </c>
      <c r="EQ12" s="22" t="b">
        <f t="shared" si="2"/>
        <v>0</v>
      </c>
      <c r="ER12" s="4"/>
      <c r="ES12" s="23"/>
      <c r="ET12" s="58"/>
      <c r="EU12" s="68"/>
      <c r="EV12" s="4"/>
      <c r="EW12" s="16"/>
      <c r="EX12" s="5"/>
      <c r="EZ12" s="18"/>
      <c r="FA12" s="18"/>
      <c r="FB12" s="5"/>
      <c r="FC12" s="23"/>
      <c r="FD12" s="22"/>
      <c r="FE12" s="22"/>
      <c r="FF12" s="11"/>
      <c r="FG12" s="8">
        <v>7.3883594815183806E-2</v>
      </c>
      <c r="FH12" s="9">
        <v>7.3883594815183806E-2</v>
      </c>
      <c r="FI12" s="9">
        <v>7.5100667806661497E-2</v>
      </c>
      <c r="FJ12" s="9">
        <v>7.6617097889130695E-2</v>
      </c>
      <c r="FK12" s="9">
        <v>0.119923112047971</v>
      </c>
      <c r="FL12" s="10">
        <v>0.12144343365075699</v>
      </c>
      <c r="FM12" s="14"/>
      <c r="FN12" s="3">
        <v>230.84899999999999</v>
      </c>
      <c r="FO12" s="5"/>
      <c r="FP12" s="5" t="str">
        <f t="shared" si="3"/>
        <v>na</v>
      </c>
      <c r="FQ12" s="5">
        <v>0</v>
      </c>
      <c r="FR12" s="5"/>
      <c r="FS12" s="5"/>
      <c r="FT12" s="5" t="str">
        <f>IF(ISBLANK(FS12),"",CONCATENATE("Q",FS12))</f>
        <v/>
      </c>
      <c r="FU12" s="68" t="s">
        <v>39</v>
      </c>
      <c r="FV12" s="5">
        <v>100</v>
      </c>
      <c r="FW12" s="5" t="str">
        <f t="shared" si="4"/>
        <v>Q100</v>
      </c>
      <c r="FX12" s="5"/>
      <c r="FY12" s="5" t="str">
        <f t="shared" si="4"/>
        <v>---</v>
      </c>
      <c r="FZ12" s="5"/>
      <c r="GA12" s="4">
        <v>0</v>
      </c>
      <c r="GB12" s="5"/>
      <c r="GC12" s="4" t="str">
        <f t="shared" si="5"/>
        <v>na</v>
      </c>
      <c r="GE12" t="s">
        <v>39</v>
      </c>
      <c r="GF12">
        <v>1297.05269822949</v>
      </c>
      <c r="GG12">
        <v>1798.1535897070601</v>
      </c>
      <c r="GH12">
        <v>2942.6253974320498</v>
      </c>
      <c r="GI12">
        <v>3477.0782066296001</v>
      </c>
      <c r="GJ12">
        <v>3966.2471954601301</v>
      </c>
      <c r="GK12">
        <v>5282.0421105568303</v>
      </c>
      <c r="GL12" s="19"/>
      <c r="GM12" s="14"/>
      <c r="GN12" s="15">
        <v>1.7566224084452901E-2</v>
      </c>
      <c r="GR12">
        <v>1036.96548615648</v>
      </c>
      <c r="GS12">
        <v>1384.89331366844</v>
      </c>
      <c r="GT12">
        <v>2086.3375850008701</v>
      </c>
      <c r="GU12">
        <v>2225.7582905457198</v>
      </c>
      <c r="GV12">
        <v>2100.39709287919</v>
      </c>
      <c r="GW12">
        <v>2558.55711594683</v>
      </c>
      <c r="GX12" s="14"/>
      <c r="GY12" s="14"/>
      <c r="HE12" t="str">
        <f t="shared" si="29"/>
        <v/>
      </c>
      <c r="HH12">
        <f t="shared" si="30"/>
        <v>0</v>
      </c>
      <c r="HI12" t="str">
        <f t="shared" si="31"/>
        <v/>
      </c>
      <c r="HJ12" t="str">
        <f t="shared" si="6"/>
        <v/>
      </c>
    </row>
    <row r="13" spans="1:221" x14ac:dyDescent="0.3">
      <c r="A13" s="128" t="s">
        <v>124</v>
      </c>
      <c r="B13" s="3">
        <v>114.545</v>
      </c>
      <c r="C13" s="3"/>
      <c r="D13" s="3"/>
      <c r="E13" s="3"/>
      <c r="F13" s="3"/>
      <c r="G13" s="3"/>
      <c r="H13" s="3"/>
      <c r="I13" s="3"/>
      <c r="J13" s="3"/>
      <c r="K13" s="3"/>
      <c r="L13" s="3"/>
      <c r="M13" s="3">
        <v>0</v>
      </c>
      <c r="N13" s="3">
        <v>0</v>
      </c>
      <c r="O13" s="3">
        <v>0</v>
      </c>
      <c r="P13" s="3">
        <v>0</v>
      </c>
      <c r="Q13" s="3">
        <v>0</v>
      </c>
      <c r="R13" s="3">
        <v>0</v>
      </c>
      <c r="S13" s="3"/>
      <c r="T13" s="3"/>
      <c r="U13" s="3" t="s">
        <v>85</v>
      </c>
      <c r="V13" s="3" t="s">
        <v>161</v>
      </c>
      <c r="W13" s="3">
        <v>0</v>
      </c>
      <c r="X13" s="3">
        <f t="shared" si="11"/>
        <v>0</v>
      </c>
      <c r="Y13" s="3">
        <v>178.66329999999999</v>
      </c>
      <c r="Z13" s="3">
        <f t="shared" si="12"/>
        <v>0.11972056209598035</v>
      </c>
      <c r="AA13" s="3">
        <f t="shared" si="0"/>
        <v>0.11972056209598035</v>
      </c>
      <c r="AB13" s="3">
        <v>6.23</v>
      </c>
      <c r="AC13" s="3">
        <v>1465.8150000000001</v>
      </c>
      <c r="AD13" s="3">
        <f t="shared" si="13"/>
        <v>0.9822285591317268</v>
      </c>
      <c r="AE13" s="3">
        <v>0</v>
      </c>
      <c r="AF13" s="3">
        <f t="shared" si="14"/>
        <v>0</v>
      </c>
      <c r="AG13" s="3">
        <v>1492</v>
      </c>
      <c r="AH13" s="3" t="s">
        <v>123</v>
      </c>
      <c r="AI13" s="3"/>
      <c r="AJ13" s="3">
        <v>1</v>
      </c>
      <c r="AK13" s="3">
        <v>868</v>
      </c>
      <c r="AL13" s="5">
        <v>22</v>
      </c>
      <c r="AM13" s="5" t="s">
        <v>85</v>
      </c>
      <c r="AN13" s="5" t="s">
        <v>86</v>
      </c>
      <c r="AO13" s="5">
        <v>16</v>
      </c>
      <c r="AP13" s="5">
        <v>0.65</v>
      </c>
      <c r="AQ13" s="3" t="s">
        <v>89</v>
      </c>
      <c r="AR13" s="3" t="s">
        <v>125</v>
      </c>
      <c r="AS13" s="5" t="s">
        <v>1</v>
      </c>
      <c r="AT13" s="3" t="s">
        <v>120</v>
      </c>
      <c r="AU13" s="3" t="s">
        <v>81</v>
      </c>
      <c r="AV13" s="3"/>
      <c r="AW13" s="23" t="s">
        <v>80</v>
      </c>
      <c r="AX13" s="3" t="s">
        <v>129</v>
      </c>
      <c r="AY13" s="23">
        <v>1.9400000572204601</v>
      </c>
      <c r="AZ13" s="23"/>
      <c r="BA13" s="58" t="str">
        <f t="shared" si="26"/>
        <v>ME</v>
      </c>
      <c r="BB13" s="23">
        <v>1.1473296880721999</v>
      </c>
      <c r="BC13" s="4">
        <f t="shared" si="27"/>
        <v>1.1000000000000001</v>
      </c>
      <c r="BD13" s="23" t="b">
        <f t="shared" si="16"/>
        <v>0</v>
      </c>
      <c r="BE13" s="5" t="s">
        <v>82</v>
      </c>
      <c r="BF13" s="5" t="s">
        <v>82</v>
      </c>
      <c r="BG13" s="5">
        <v>382</v>
      </c>
      <c r="BH13" s="3">
        <v>1319.5550000000001</v>
      </c>
      <c r="BI13" s="3">
        <f t="shared" si="15"/>
        <v>0.88422113728203477</v>
      </c>
      <c r="BJ13" s="3">
        <v>0</v>
      </c>
      <c r="BK13" s="3">
        <f>IF(ISBLANK(BJ13),"",BJ13/($CH13*3.2808399*1000))</f>
        <v>0</v>
      </c>
      <c r="BL13" s="56">
        <f t="shared" si="17"/>
        <v>0.88422113728203477</v>
      </c>
      <c r="BM13" s="3" t="s">
        <v>160</v>
      </c>
      <c r="BN13" s="3">
        <v>5</v>
      </c>
      <c r="BO13" s="3">
        <v>124.01552580000001</v>
      </c>
      <c r="BP13" s="3">
        <f t="shared" si="18"/>
        <v>124.01552580000001</v>
      </c>
      <c r="BQ13" s="57">
        <f t="shared" si="19"/>
        <v>4.1550806621742001E-2</v>
      </c>
      <c r="BR13" s="3">
        <v>81.275090000000006</v>
      </c>
      <c r="BS13" s="3">
        <v>42.740430000000003</v>
      </c>
      <c r="BT13" s="3">
        <v>5</v>
      </c>
      <c r="BU13" s="3">
        <v>5</v>
      </c>
      <c r="BV13" s="3" t="s">
        <v>92</v>
      </c>
      <c r="BW13" s="23" t="s">
        <v>80</v>
      </c>
      <c r="BX13" s="3">
        <v>7.5778078484438396</v>
      </c>
      <c r="BY13" s="170">
        <f t="shared" si="20"/>
        <v>7.6</v>
      </c>
      <c r="BZ13" s="170">
        <f t="shared" si="7"/>
        <v>0</v>
      </c>
      <c r="CA13" s="170">
        <f t="shared" si="8"/>
        <v>0.59999999999999964</v>
      </c>
      <c r="CB13" s="170" t="str">
        <f t="shared" si="9"/>
        <v/>
      </c>
      <c r="CC13" s="170" t="str">
        <f t="shared" si="10"/>
        <v>7.6</v>
      </c>
      <c r="CD13" s="27"/>
      <c r="CE13" s="109" t="s">
        <v>21</v>
      </c>
      <c r="CF13" s="95">
        <v>127</v>
      </c>
      <c r="CG13" s="95">
        <v>155.17773655213301</v>
      </c>
      <c r="CH13" s="4">
        <f t="shared" si="1"/>
        <v>0.45486399999999999</v>
      </c>
      <c r="CI13" s="16">
        <v>3.5801112972605998E-3</v>
      </c>
      <c r="CJ13" s="7" t="str">
        <f t="shared" si="21"/>
        <v>SC (7.6)</v>
      </c>
      <c r="CK13" s="3" t="s">
        <v>129</v>
      </c>
      <c r="CL13" s="23">
        <v>2.6</v>
      </c>
      <c r="CM13" s="4">
        <v>2.6</v>
      </c>
      <c r="CN13" s="148">
        <v>0.88422113728203477</v>
      </c>
      <c r="CO13" s="145" t="str">
        <f t="shared" si="22"/>
        <v>Q5</v>
      </c>
      <c r="CP13" s="87" t="str">
        <f t="shared" si="23"/>
        <v>Q100</v>
      </c>
      <c r="CQ13" s="109" t="s">
        <v>21</v>
      </c>
      <c r="CR13" s="5" t="s">
        <v>129</v>
      </c>
      <c r="CS13" s="137">
        <v>0</v>
      </c>
      <c r="CT13" s="95">
        <v>5.4367898976397298</v>
      </c>
      <c r="CU13" s="95">
        <v>20.779837489887001</v>
      </c>
      <c r="CV13" s="95">
        <v>41.825688557458903</v>
      </c>
      <c r="CW13" s="95">
        <v>85.056192620211704</v>
      </c>
      <c r="CX13" s="96">
        <v>85.056192620211704</v>
      </c>
      <c r="CY13" s="137">
        <v>9.1370719548178131E-2</v>
      </c>
      <c r="CZ13" s="95">
        <v>0.24557034367769268</v>
      </c>
      <c r="DA13" s="95">
        <v>2.0212597922798419</v>
      </c>
      <c r="DB13" s="95">
        <v>4.4569494141163295</v>
      </c>
      <c r="DC13" s="95">
        <v>8.3328076089915672</v>
      </c>
      <c r="DD13" s="96">
        <v>8.674584922363147</v>
      </c>
      <c r="DE13" s="205">
        <v>272.47096391357297</v>
      </c>
      <c r="DF13" s="3">
        <v>421.37832523288898</v>
      </c>
      <c r="DG13" s="3">
        <v>651.662677430141</v>
      </c>
      <c r="DH13" s="3">
        <v>272.47096391357297</v>
      </c>
      <c r="DI13" s="3">
        <v>421.37832523288898</v>
      </c>
      <c r="DJ13" s="3">
        <v>651.662677430141</v>
      </c>
      <c r="DK13" s="92" t="str">
        <f>IF(FP13="Q1000","&gt;Q500",FP13)</f>
        <v>Q25</v>
      </c>
      <c r="DL13" s="95">
        <v>162.542861849644</v>
      </c>
      <c r="DM13" s="95">
        <v>228.075557710656</v>
      </c>
      <c r="DN13" s="95">
        <v>338.93937588352497</v>
      </c>
      <c r="DO13" s="95">
        <v>383.71481718091201</v>
      </c>
      <c r="DP13" s="95">
        <v>423.71010695303499</v>
      </c>
      <c r="DQ13" s="96">
        <v>533.88448389644702</v>
      </c>
      <c r="DR13" t="b">
        <f t="shared" si="24"/>
        <v>1</v>
      </c>
      <c r="DS13" t="s">
        <v>21</v>
      </c>
      <c r="DT13">
        <v>155.17773655213301</v>
      </c>
      <c r="EO13" s="163" t="s">
        <v>21</v>
      </c>
      <c r="EP13" s="92" t="str">
        <f t="shared" si="25"/>
        <v>Q5</v>
      </c>
      <c r="EQ13" s="22" t="b">
        <f t="shared" si="2"/>
        <v>1</v>
      </c>
      <c r="ER13" s="29">
        <v>2.6</v>
      </c>
      <c r="ES13" s="34">
        <v>2.6</v>
      </c>
      <c r="ET13" s="58" t="str">
        <f t="shared" si="28"/>
        <v>NE</v>
      </c>
      <c r="EU13" s="68" t="s">
        <v>21</v>
      </c>
      <c r="EV13" s="4">
        <v>0.45486399999999999</v>
      </c>
      <c r="EW13" s="16">
        <v>3.5801112972605998E-3</v>
      </c>
      <c r="EX13" s="5" t="s">
        <v>32</v>
      </c>
      <c r="EY13" s="74" t="s">
        <v>31</v>
      </c>
      <c r="EZ13" s="77" t="s">
        <v>86</v>
      </c>
      <c r="FA13" s="77" t="s">
        <v>86</v>
      </c>
      <c r="FB13" s="78" t="s">
        <v>1</v>
      </c>
      <c r="FC13" s="58" t="s">
        <v>80</v>
      </c>
      <c r="FD13" s="22"/>
      <c r="FE13" s="22"/>
      <c r="FF13" s="11"/>
      <c r="FG13" s="8">
        <v>0.224427256856607</v>
      </c>
      <c r="FH13" s="9">
        <v>0.37862688098619202</v>
      </c>
      <c r="FI13" s="9">
        <v>2.1543163295883998</v>
      </c>
      <c r="FJ13" s="9">
        <v>4.5900059514248399</v>
      </c>
      <c r="FK13" s="9">
        <v>8.46586414629998</v>
      </c>
      <c r="FL13" s="10">
        <v>8.8076414596716806</v>
      </c>
      <c r="FM13" s="14"/>
      <c r="FN13" s="3">
        <v>454.86399999999998</v>
      </c>
      <c r="FO13" s="5">
        <v>25</v>
      </c>
      <c r="FP13" s="5" t="str">
        <f t="shared" si="3"/>
        <v>Q25</v>
      </c>
      <c r="FQ13" s="5">
        <v>56383</v>
      </c>
      <c r="FR13" s="5">
        <v>13194</v>
      </c>
      <c r="FS13" s="5">
        <v>5</v>
      </c>
      <c r="FT13" s="5" t="str">
        <f>IF(ISBLANK(FS13),"na",CONCATENATE("Q",FS13))</f>
        <v>Q5</v>
      </c>
      <c r="FU13" s="68" t="s">
        <v>21</v>
      </c>
      <c r="FV13" s="5">
        <v>5</v>
      </c>
      <c r="FW13" s="5" t="str">
        <f t="shared" si="4"/>
        <v>Q5</v>
      </c>
      <c r="FX13" s="5">
        <v>100</v>
      </c>
      <c r="FY13" s="5" t="str">
        <f t="shared" si="4"/>
        <v>Q100</v>
      </c>
      <c r="FZ13" s="5">
        <v>0.2</v>
      </c>
      <c r="GA13" s="4">
        <v>123.955731823138</v>
      </c>
      <c r="GB13" s="5">
        <v>29.0064722642372</v>
      </c>
      <c r="GC13" s="4">
        <f t="shared" si="5"/>
        <v>29.0064722642372</v>
      </c>
      <c r="GE13" t="s">
        <v>21</v>
      </c>
      <c r="GF13">
        <v>162.542861849644</v>
      </c>
      <c r="GG13">
        <v>228.075557710656</v>
      </c>
      <c r="GH13">
        <v>338.93937588352497</v>
      </c>
      <c r="GI13">
        <v>383.71481718091201</v>
      </c>
      <c r="GJ13">
        <v>423.71010695303499</v>
      </c>
      <c r="GK13">
        <v>533.88448389644702</v>
      </c>
      <c r="GL13" s="19"/>
      <c r="GM13" s="14"/>
      <c r="GN13" s="15">
        <v>3.5801112972605998E-3</v>
      </c>
      <c r="GO13">
        <v>272.47096391357297</v>
      </c>
      <c r="GP13">
        <v>421.37832523288898</v>
      </c>
      <c r="GQ13">
        <v>651.662677430141</v>
      </c>
      <c r="GR13">
        <v>114.98467105478601</v>
      </c>
      <c r="GS13">
        <v>127.19963675912901</v>
      </c>
      <c r="GT13">
        <v>145.229656752995</v>
      </c>
      <c r="GU13">
        <v>146.32582212160801</v>
      </c>
      <c r="GV13">
        <v>131.640830928735</v>
      </c>
      <c r="GW13">
        <v>160.3310917821</v>
      </c>
      <c r="GX13" s="14"/>
      <c r="GY13" s="14"/>
      <c r="HD13">
        <v>1</v>
      </c>
      <c r="HE13">
        <f t="shared" si="29"/>
        <v>1</v>
      </c>
      <c r="HF13">
        <v>1</v>
      </c>
      <c r="HG13">
        <v>1</v>
      </c>
      <c r="HH13">
        <f t="shared" si="30"/>
        <v>2</v>
      </c>
      <c r="HI13" t="str">
        <f t="shared" si="31"/>
        <v/>
      </c>
      <c r="HJ13" t="str">
        <f t="shared" si="6"/>
        <v>Entrenched</v>
      </c>
    </row>
    <row r="14" spans="1:221" x14ac:dyDescent="0.3">
      <c r="A14" s="129" t="s">
        <v>85</v>
      </c>
      <c r="B14" s="33">
        <v>114.37</v>
      </c>
      <c r="C14" s="33"/>
      <c r="D14" s="33"/>
      <c r="E14" s="33"/>
      <c r="F14" s="33"/>
      <c r="G14" s="33"/>
      <c r="H14" s="33"/>
      <c r="I14" s="33"/>
      <c r="J14" s="33"/>
      <c r="K14" s="33"/>
      <c r="L14" s="33"/>
      <c r="M14" s="33">
        <v>0</v>
      </c>
      <c r="N14" s="33">
        <v>0</v>
      </c>
      <c r="O14" s="33">
        <v>0</v>
      </c>
      <c r="P14" s="33">
        <v>0</v>
      </c>
      <c r="Q14" s="33">
        <v>0</v>
      </c>
      <c r="R14" s="33">
        <v>0</v>
      </c>
      <c r="S14" s="33"/>
      <c r="T14" s="33"/>
      <c r="U14" s="33" t="s">
        <v>161</v>
      </c>
      <c r="V14" s="33" t="s">
        <v>161</v>
      </c>
      <c r="W14" s="33">
        <v>38.307270000000003</v>
      </c>
      <c r="X14" s="33">
        <f t="shared" si="11"/>
        <v>2.8153866263150092E-2</v>
      </c>
      <c r="Y14" s="33">
        <v>114.86409999999999</v>
      </c>
      <c r="Z14" s="33">
        <f t="shared" si="12"/>
        <v>8.4419184918087295E-2</v>
      </c>
      <c r="AA14" s="3">
        <f t="shared" si="0"/>
        <v>0.11257305118123739</v>
      </c>
      <c r="AB14" s="33"/>
      <c r="AC14" s="33">
        <v>236.42089999999999</v>
      </c>
      <c r="AD14" s="33">
        <f t="shared" si="13"/>
        <v>0.17375715889995763</v>
      </c>
      <c r="AE14" s="33">
        <v>0</v>
      </c>
      <c r="AF14" s="33">
        <f t="shared" si="14"/>
        <v>0</v>
      </c>
      <c r="AG14" s="33">
        <v>1355</v>
      </c>
      <c r="AH14" s="33" t="s">
        <v>123</v>
      </c>
      <c r="AI14" s="33"/>
      <c r="AJ14" s="33">
        <v>1.2275916337966899</v>
      </c>
      <c r="AK14" s="33">
        <v>638</v>
      </c>
      <c r="AL14" s="32">
        <v>18</v>
      </c>
      <c r="AM14" s="32"/>
      <c r="AN14" s="32"/>
      <c r="AO14" s="32"/>
      <c r="AP14" s="32">
        <v>0</v>
      </c>
      <c r="AQ14" s="33" t="s">
        <v>88</v>
      </c>
      <c r="AR14" s="33" t="s">
        <v>85</v>
      </c>
      <c r="AS14" s="32" t="s">
        <v>5</v>
      </c>
      <c r="AT14" s="33" t="s">
        <v>120</v>
      </c>
      <c r="AU14" s="33" t="s">
        <v>86</v>
      </c>
      <c r="AV14" s="33" t="s">
        <v>86</v>
      </c>
      <c r="AW14" s="34" t="s">
        <v>93</v>
      </c>
      <c r="AX14" s="33" t="s">
        <v>127</v>
      </c>
      <c r="AY14" s="35" t="s">
        <v>50</v>
      </c>
      <c r="AZ14" s="35"/>
      <c r="BA14" s="34" t="str">
        <f t="shared" si="26"/>
        <v>NE</v>
      </c>
      <c r="BB14" s="35" t="s">
        <v>50</v>
      </c>
      <c r="BC14" s="29"/>
      <c r="BD14" s="34" t="str">
        <f t="shared" si="16"/>
        <v/>
      </c>
      <c r="BE14" s="32" t="s">
        <v>82</v>
      </c>
      <c r="BF14" s="32" t="s">
        <v>82</v>
      </c>
      <c r="BG14" s="32">
        <v>149</v>
      </c>
      <c r="BH14" s="33">
        <v>1282.6189999999999</v>
      </c>
      <c r="BI14" s="33">
        <f t="shared" si="15"/>
        <v>0.9426587640564128</v>
      </c>
      <c r="BJ14" s="33">
        <v>0</v>
      </c>
      <c r="BK14" s="33">
        <f>IF(ISBLANK(BJ14),"",BJ14/($CH14*3.2808399*1000))</f>
        <v>0</v>
      </c>
      <c r="BL14" s="54">
        <f t="shared" si="17"/>
        <v>0.9426587640564128</v>
      </c>
      <c r="BM14" s="33" t="s">
        <v>163</v>
      </c>
      <c r="BN14" s="33">
        <v>5.907</v>
      </c>
      <c r="BO14" s="33">
        <v>1121.6010742000001</v>
      </c>
      <c r="BP14" s="33">
        <f t="shared" si="18"/>
        <v>1121.6010742000001</v>
      </c>
      <c r="BQ14" s="55">
        <f t="shared" si="19"/>
        <v>0.41215944967668383</v>
      </c>
      <c r="BR14" s="33">
        <v>0</v>
      </c>
      <c r="BS14" s="33">
        <v>0</v>
      </c>
      <c r="BT14" s="33">
        <v>0</v>
      </c>
      <c r="BU14" s="33">
        <v>0</v>
      </c>
      <c r="BV14" s="33"/>
      <c r="BW14" s="23" t="s">
        <v>93</v>
      </c>
      <c r="BX14" s="33">
        <v>5.5783859403689799</v>
      </c>
      <c r="BY14" s="170">
        <f t="shared" si="20"/>
        <v>5.6</v>
      </c>
      <c r="BZ14" s="170">
        <f t="shared" si="7"/>
        <v>0</v>
      </c>
      <c r="CA14" s="170">
        <f t="shared" si="8"/>
        <v>0.59999999999999964</v>
      </c>
      <c r="CB14" s="170" t="str">
        <f t="shared" si="9"/>
        <v/>
      </c>
      <c r="CC14" s="170" t="str">
        <f t="shared" si="10"/>
        <v>5.6</v>
      </c>
      <c r="CD14" s="27"/>
      <c r="CE14" s="109" t="s">
        <v>40</v>
      </c>
      <c r="CF14" s="95">
        <v>126</v>
      </c>
      <c r="CG14" s="171" t="s">
        <v>50</v>
      </c>
      <c r="CH14" s="4">
        <f t="shared" si="1"/>
        <v>0.41472300000000001</v>
      </c>
      <c r="CI14" s="16">
        <v>1.32066748562444E-2</v>
      </c>
      <c r="CJ14" s="7" t="str">
        <f t="shared" si="21"/>
        <v>NC (5.6)</v>
      </c>
      <c r="CK14" s="3" t="s">
        <v>122</v>
      </c>
      <c r="CL14" s="7" t="s">
        <v>50</v>
      </c>
      <c r="CM14" s="97" t="s">
        <v>50</v>
      </c>
      <c r="CN14" s="148">
        <v>0.9426587640564128</v>
      </c>
      <c r="CO14" s="145" t="str">
        <f t="shared" si="22"/>
        <v>---</v>
      </c>
      <c r="CP14" s="87" t="str">
        <f t="shared" si="23"/>
        <v>---</v>
      </c>
      <c r="CQ14" s="109" t="s">
        <v>40</v>
      </c>
      <c r="CR14" s="5" t="s">
        <v>122</v>
      </c>
      <c r="CS14" s="137">
        <v>0</v>
      </c>
      <c r="CT14" s="95">
        <v>0</v>
      </c>
      <c r="CU14" s="95">
        <v>0</v>
      </c>
      <c r="CV14" s="95">
        <v>0</v>
      </c>
      <c r="CW14" s="95">
        <v>0</v>
      </c>
      <c r="CX14" s="96">
        <v>0</v>
      </c>
      <c r="CY14" s="137">
        <v>1.2755375298128195E-2</v>
      </c>
      <c r="CZ14" s="95">
        <v>1.2755375298128195E-2</v>
      </c>
      <c r="DA14" s="95">
        <v>1.2755375298128195E-2</v>
      </c>
      <c r="DB14" s="95">
        <v>1.2755375298128195E-2</v>
      </c>
      <c r="DC14" s="95">
        <v>1.2755375298128195E-2</v>
      </c>
      <c r="DD14" s="96">
        <v>1.2755375298128195E-2</v>
      </c>
      <c r="DE14" s="204" t="s">
        <v>50</v>
      </c>
      <c r="DF14" s="7" t="s">
        <v>50</v>
      </c>
      <c r="DG14" s="7" t="s">
        <v>50</v>
      </c>
      <c r="DH14" s="7" t="s">
        <v>50</v>
      </c>
      <c r="DI14" s="7" t="s">
        <v>50</v>
      </c>
      <c r="DJ14" s="7" t="s">
        <v>50</v>
      </c>
      <c r="DK14" s="136" t="s">
        <v>50</v>
      </c>
      <c r="DL14" s="95">
        <v>743.112195824786</v>
      </c>
      <c r="DM14" s="95">
        <v>1122.1144537897101</v>
      </c>
      <c r="DN14" s="95">
        <v>1695.86790550979</v>
      </c>
      <c r="DO14" s="95">
        <v>2014.6974494338201</v>
      </c>
      <c r="DP14" s="95">
        <v>2347.4856510128402</v>
      </c>
      <c r="DQ14" s="96">
        <v>3256.91888527423</v>
      </c>
      <c r="DR14" t="b">
        <f t="shared" si="24"/>
        <v>0</v>
      </c>
      <c r="EO14" s="163" t="s">
        <v>40</v>
      </c>
      <c r="EP14" s="92" t="str">
        <f t="shared" si="25"/>
        <v>---</v>
      </c>
      <c r="EQ14" s="22" t="b">
        <f t="shared" si="2"/>
        <v>0</v>
      </c>
      <c r="ER14" s="29"/>
      <c r="ES14" s="34"/>
      <c r="ET14" s="58"/>
      <c r="EU14" s="68"/>
      <c r="EV14" s="4"/>
      <c r="EW14" s="16"/>
      <c r="EX14" s="5"/>
      <c r="EY14" s="74"/>
      <c r="EZ14" s="77"/>
      <c r="FA14" s="77"/>
      <c r="FB14" s="78"/>
      <c r="FC14" s="58"/>
      <c r="FD14" s="22"/>
      <c r="FE14" s="22"/>
      <c r="FF14" s="11"/>
      <c r="FG14" s="8">
        <v>0.19818036778020201</v>
      </c>
      <c r="FH14" s="9">
        <v>0.198180367780185</v>
      </c>
      <c r="FI14" s="9">
        <v>0.19818036778016701</v>
      </c>
      <c r="FJ14" s="9">
        <v>0.19818036778020201</v>
      </c>
      <c r="FK14" s="9">
        <v>0.198180367780185</v>
      </c>
      <c r="FL14" s="10">
        <v>0.198180367780185</v>
      </c>
      <c r="FM14" s="14"/>
      <c r="FN14" s="3">
        <v>414.72300000000001</v>
      </c>
      <c r="FO14" s="5"/>
      <c r="FP14" s="5" t="str">
        <f t="shared" si="3"/>
        <v>na</v>
      </c>
      <c r="FQ14" s="5">
        <v>0</v>
      </c>
      <c r="FR14" s="5"/>
      <c r="FS14" s="5"/>
      <c r="FT14" s="5"/>
      <c r="FU14" s="68" t="s">
        <v>40</v>
      </c>
      <c r="FV14" s="5"/>
      <c r="FW14" s="5" t="str">
        <f t="shared" si="4"/>
        <v>---</v>
      </c>
      <c r="FX14" s="5"/>
      <c r="FY14" s="5" t="str">
        <f t="shared" si="4"/>
        <v>---</v>
      </c>
      <c r="FZ14" s="5"/>
      <c r="GA14" s="4">
        <v>0</v>
      </c>
      <c r="GB14" s="5"/>
      <c r="GC14" s="4" t="str">
        <f t="shared" si="5"/>
        <v>na</v>
      </c>
      <c r="GE14" t="s">
        <v>40</v>
      </c>
      <c r="GF14">
        <v>743.112195824786</v>
      </c>
      <c r="GG14">
        <v>1122.1144537897101</v>
      </c>
      <c r="GH14">
        <v>1695.86790550979</v>
      </c>
      <c r="GI14">
        <v>2014.6974494338201</v>
      </c>
      <c r="GJ14">
        <v>2347.4856510128402</v>
      </c>
      <c r="GK14">
        <v>3256.91888527423</v>
      </c>
      <c r="GL14" s="19"/>
      <c r="GM14" s="14"/>
      <c r="GN14" s="15">
        <v>1.32066748562444E-2</v>
      </c>
      <c r="GR14">
        <v>597.69263916258603</v>
      </c>
      <c r="GS14">
        <v>864.39003097026102</v>
      </c>
      <c r="GT14">
        <v>1242.8918018474301</v>
      </c>
      <c r="GU14">
        <v>1444.54868342334</v>
      </c>
      <c r="GV14">
        <v>1648.4703510225299</v>
      </c>
      <c r="GW14">
        <v>2174.0915527689499</v>
      </c>
      <c r="GX14" s="14"/>
      <c r="GY14" s="14"/>
      <c r="HE14" t="str">
        <f t="shared" si="29"/>
        <v/>
      </c>
      <c r="HH14">
        <f t="shared" si="30"/>
        <v>0</v>
      </c>
      <c r="HI14" t="str">
        <f t="shared" si="31"/>
        <v/>
      </c>
      <c r="HJ14" t="str">
        <f t="shared" si="6"/>
        <v/>
      </c>
    </row>
    <row r="15" spans="1:221" x14ac:dyDescent="0.3">
      <c r="A15" s="128" t="s">
        <v>85</v>
      </c>
      <c r="B15" s="3">
        <v>114.37</v>
      </c>
      <c r="C15" s="3"/>
      <c r="D15" s="3"/>
      <c r="E15" s="3"/>
      <c r="F15" s="3"/>
      <c r="G15" s="3"/>
      <c r="H15" s="3"/>
      <c r="I15" s="3"/>
      <c r="J15" s="3"/>
      <c r="K15" s="3"/>
      <c r="L15" s="3"/>
      <c r="M15" s="3">
        <v>0</v>
      </c>
      <c r="N15" s="3">
        <v>0</v>
      </c>
      <c r="O15" s="3">
        <v>0</v>
      </c>
      <c r="P15" s="3">
        <v>0</v>
      </c>
      <c r="Q15" s="3">
        <v>0</v>
      </c>
      <c r="R15" s="3">
        <v>0</v>
      </c>
      <c r="S15" s="3"/>
      <c r="T15" s="3"/>
      <c r="U15" s="3" t="s">
        <v>161</v>
      </c>
      <c r="V15" s="3" t="s">
        <v>85</v>
      </c>
      <c r="W15" s="3">
        <v>405.39010000000002</v>
      </c>
      <c r="X15" s="3">
        <f t="shared" si="11"/>
        <v>0.22652349290468743</v>
      </c>
      <c r="Y15" s="3">
        <v>0</v>
      </c>
      <c r="Z15" s="3">
        <f t="shared" si="12"/>
        <v>0</v>
      </c>
      <c r="AA15" s="3">
        <f t="shared" si="0"/>
        <v>0.22652349290468743</v>
      </c>
      <c r="AB15" s="3">
        <v>9.89</v>
      </c>
      <c r="AC15" s="3">
        <v>369.10730000000001</v>
      </c>
      <c r="AD15" s="3">
        <f t="shared" si="13"/>
        <v>0.20624942457306761</v>
      </c>
      <c r="AE15" s="3">
        <v>0</v>
      </c>
      <c r="AF15" s="3">
        <f t="shared" si="14"/>
        <v>0</v>
      </c>
      <c r="AG15" s="3">
        <v>1795</v>
      </c>
      <c r="AH15" s="3" t="s">
        <v>123</v>
      </c>
      <c r="AI15" s="3"/>
      <c r="AJ15" s="3">
        <v>1.2275916337966899</v>
      </c>
      <c r="AK15" s="3">
        <v>638</v>
      </c>
      <c r="AL15" s="5">
        <v>18</v>
      </c>
      <c r="AM15" s="5" t="s">
        <v>95</v>
      </c>
      <c r="AN15" s="5" t="s">
        <v>86</v>
      </c>
      <c r="AO15" s="5">
        <v>7</v>
      </c>
      <c r="AP15" s="5">
        <v>0.42499999999999999</v>
      </c>
      <c r="AQ15" s="3" t="s">
        <v>88</v>
      </c>
      <c r="AR15" s="3" t="s">
        <v>85</v>
      </c>
      <c r="AS15" s="5" t="s">
        <v>3</v>
      </c>
      <c r="AT15" s="3" t="s">
        <v>120</v>
      </c>
      <c r="AU15" s="3" t="s">
        <v>81</v>
      </c>
      <c r="AV15" s="3"/>
      <c r="AW15" s="23" t="s">
        <v>89</v>
      </c>
      <c r="AX15" s="3" t="s">
        <v>127</v>
      </c>
      <c r="AY15" s="23">
        <v>1.27729976177216</v>
      </c>
      <c r="AZ15" s="23"/>
      <c r="BA15" s="59" t="str">
        <f t="shared" si="26"/>
        <v>HE</v>
      </c>
      <c r="BB15" s="23">
        <v>1.84514927864075</v>
      </c>
      <c r="BC15" s="4">
        <f t="shared" si="27"/>
        <v>1.8</v>
      </c>
      <c r="BD15" s="23" t="b">
        <f t="shared" si="16"/>
        <v>1</v>
      </c>
      <c r="BE15" s="5" t="s">
        <v>82</v>
      </c>
      <c r="BF15" s="5" t="s">
        <v>82</v>
      </c>
      <c r="BG15" s="5">
        <v>906</v>
      </c>
      <c r="BH15" s="3">
        <v>813.18110000000001</v>
      </c>
      <c r="BI15" s="3">
        <f t="shared" si="15"/>
        <v>0.45438855841836273</v>
      </c>
      <c r="BJ15" s="3">
        <v>0</v>
      </c>
      <c r="BK15" s="3">
        <f>IF(ISBLANK(BJ15),"",BJ15/($CH15*3.2808399*1000))</f>
        <v>0</v>
      </c>
      <c r="BL15" s="56">
        <f t="shared" si="17"/>
        <v>0.45438855841836273</v>
      </c>
      <c r="BM15" s="3" t="s">
        <v>83</v>
      </c>
      <c r="BN15" s="3">
        <v>5.907</v>
      </c>
      <c r="BO15" s="3">
        <v>1121.6010742000001</v>
      </c>
      <c r="BP15" s="3">
        <f t="shared" si="18"/>
        <v>1121.6010742000001</v>
      </c>
      <c r="BQ15" s="57">
        <f t="shared" si="19"/>
        <v>0.31336358852057994</v>
      </c>
      <c r="BR15" s="3">
        <v>689.05110000000002</v>
      </c>
      <c r="BS15" s="3">
        <v>432.54989999999998</v>
      </c>
      <c r="BT15" s="3">
        <v>5.9937389999999997</v>
      </c>
      <c r="BU15" s="3">
        <v>5.7694559999999999</v>
      </c>
      <c r="BV15" s="3" t="s">
        <v>94</v>
      </c>
      <c r="BW15" s="23" t="s">
        <v>89</v>
      </c>
      <c r="BX15" s="3">
        <v>5.5783859403689799</v>
      </c>
      <c r="BY15" s="170">
        <f t="shared" si="20"/>
        <v>5.6</v>
      </c>
      <c r="BZ15" s="170">
        <f t="shared" si="7"/>
        <v>0</v>
      </c>
      <c r="CA15" s="170">
        <f t="shared" si="8"/>
        <v>0.59999999999999964</v>
      </c>
      <c r="CB15" s="170" t="str">
        <f t="shared" si="9"/>
        <v/>
      </c>
      <c r="CC15" s="170" t="str">
        <f t="shared" si="10"/>
        <v>5.6</v>
      </c>
      <c r="CD15" s="27"/>
      <c r="CE15" s="109" t="s">
        <v>22</v>
      </c>
      <c r="CF15" s="95">
        <v>126</v>
      </c>
      <c r="CG15" s="95">
        <v>161.269894386543</v>
      </c>
      <c r="CH15" s="4">
        <f t="shared" si="1"/>
        <v>0.54547500000000004</v>
      </c>
      <c r="CI15" s="16">
        <v>5.0026505353704996E-3</v>
      </c>
      <c r="CJ15" s="7" t="str">
        <f t="shared" si="21"/>
        <v>BD (5.6)</v>
      </c>
      <c r="CK15" s="3" t="s">
        <v>129</v>
      </c>
      <c r="CL15" s="23">
        <v>1.27729976177216</v>
      </c>
      <c r="CM15" s="4">
        <v>1.8</v>
      </c>
      <c r="CN15" s="148">
        <v>0.45438855841836273</v>
      </c>
      <c r="CO15" s="145" t="str">
        <f t="shared" si="22"/>
        <v>---</v>
      </c>
      <c r="CP15" s="87" t="str">
        <f t="shared" si="23"/>
        <v>&gt;Q500</v>
      </c>
      <c r="CQ15" s="109" t="s">
        <v>22</v>
      </c>
      <c r="CR15" s="5" t="s">
        <v>129</v>
      </c>
      <c r="CS15" s="137">
        <v>0</v>
      </c>
      <c r="CT15" s="95">
        <v>0</v>
      </c>
      <c r="CU15" s="95">
        <v>0</v>
      </c>
      <c r="CV15" s="95">
        <v>0</v>
      </c>
      <c r="CW15" s="95">
        <v>0</v>
      </c>
      <c r="CX15" s="96">
        <v>0</v>
      </c>
      <c r="CY15" s="137">
        <v>0.12554131425570556</v>
      </c>
      <c r="CZ15" s="95">
        <v>0.15084259047889159</v>
      </c>
      <c r="DA15" s="95">
        <v>2.2878221046870344</v>
      </c>
      <c r="DB15" s="95">
        <v>5.9208053751392633</v>
      </c>
      <c r="DC15" s="95">
        <v>11.215959271751299</v>
      </c>
      <c r="DD15" s="96">
        <v>31.113623241905493</v>
      </c>
      <c r="DE15" s="205">
        <v>318.67200792401798</v>
      </c>
      <c r="DF15" s="3">
        <v>505.06818116131598</v>
      </c>
      <c r="DG15" s="3">
        <v>746.96592697099902</v>
      </c>
      <c r="DH15" s="3">
        <v>318.67200792401798</v>
      </c>
      <c r="DI15" s="3">
        <v>505.06818116131598</v>
      </c>
      <c r="DJ15" s="3">
        <v>746.96592697099902</v>
      </c>
      <c r="DK15" s="92" t="str">
        <f>IF(FP15="Q1000","&gt;Q500",FP15)</f>
        <v>Q25</v>
      </c>
      <c r="DL15" s="95">
        <v>182.48945071845199</v>
      </c>
      <c r="DM15" s="95">
        <v>283.050515862346</v>
      </c>
      <c r="DN15" s="95">
        <v>436.08095780620698</v>
      </c>
      <c r="DO15" s="95">
        <v>493.275407151286</v>
      </c>
      <c r="DP15" s="95">
        <v>579.08872058498798</v>
      </c>
      <c r="DQ15" s="96">
        <v>754.60341082685102</v>
      </c>
      <c r="DR15" t="b">
        <f t="shared" si="24"/>
        <v>1</v>
      </c>
      <c r="DS15" t="s">
        <v>22</v>
      </c>
      <c r="DT15">
        <v>161.269894386543</v>
      </c>
      <c r="EO15" s="163" t="s">
        <v>22</v>
      </c>
      <c r="EP15" s="92" t="str">
        <f t="shared" si="25"/>
        <v>&gt;Q500</v>
      </c>
      <c r="EQ15" s="22" t="b">
        <f t="shared" si="2"/>
        <v>1</v>
      </c>
      <c r="ER15" s="80">
        <v>1.8</v>
      </c>
      <c r="ES15" s="23">
        <v>1.27729976177216</v>
      </c>
      <c r="ET15" s="59" t="str">
        <f t="shared" si="28"/>
        <v>HE</v>
      </c>
      <c r="EU15" s="68" t="s">
        <v>22</v>
      </c>
      <c r="EV15" s="4">
        <v>0.54547500000000004</v>
      </c>
      <c r="EW15" s="16">
        <v>5.0026505353704996E-3</v>
      </c>
      <c r="EX15" s="5" t="s">
        <v>32</v>
      </c>
      <c r="EY15" t="s">
        <v>206</v>
      </c>
      <c r="EZ15" s="18" t="s">
        <v>208</v>
      </c>
      <c r="FA15" s="18" t="s">
        <v>86</v>
      </c>
      <c r="FB15" s="5" t="s">
        <v>3</v>
      </c>
      <c r="FC15" s="23" t="s">
        <v>89</v>
      </c>
      <c r="FD15" s="22"/>
      <c r="FE15" s="22"/>
      <c r="FF15" s="11"/>
      <c r="FG15" s="8">
        <v>0.27857266715552997</v>
      </c>
      <c r="FH15" s="9">
        <v>0.30387394337871598</v>
      </c>
      <c r="FI15" s="9">
        <v>2.4408534575868699</v>
      </c>
      <c r="FJ15" s="9">
        <v>6.0738367280390602</v>
      </c>
      <c r="FK15" s="9">
        <v>11.368990624651101</v>
      </c>
      <c r="FL15" s="10">
        <v>31.266654594805001</v>
      </c>
      <c r="FM15" s="14"/>
      <c r="FN15" s="3">
        <v>545.47500000000002</v>
      </c>
      <c r="FO15" s="5">
        <v>25</v>
      </c>
      <c r="FP15" s="5" t="str">
        <f t="shared" si="3"/>
        <v>Q25</v>
      </c>
      <c r="FQ15" s="5">
        <v>9769</v>
      </c>
      <c r="FR15" s="5">
        <v>4949</v>
      </c>
      <c r="FS15" s="5">
        <v>1000</v>
      </c>
      <c r="FT15" s="5" t="str">
        <f t="shared" ref="FT15:FT22" si="32">IF(ISBLANK(FS15),"na",CONCATENATE("Q",FS15))</f>
        <v>Q1000</v>
      </c>
      <c r="FU15" s="68" t="s">
        <v>22</v>
      </c>
      <c r="FV15" s="5"/>
      <c r="FW15" s="5" t="str">
        <f>IF(ISBLANK(FV15),"---",IF(FV15=1000,"&gt;Q500",CONCATENATE("Q",FV15)))</f>
        <v>---</v>
      </c>
      <c r="FX15" s="5">
        <v>1000</v>
      </c>
      <c r="FY15" s="5" t="str">
        <f>IF(ISBLANK(FX15),"---",IF(FX15=1000,"&gt;Q500",CONCATENATE("Q",FX15)))</f>
        <v>&gt;Q500</v>
      </c>
      <c r="FZ15" s="5">
        <v>1E-3</v>
      </c>
      <c r="GA15" s="4">
        <v>17.909161739767999</v>
      </c>
      <c r="GB15" s="5">
        <v>9.0728264356753208</v>
      </c>
      <c r="GC15" s="4">
        <f t="shared" si="5"/>
        <v>9.0728264356753208</v>
      </c>
      <c r="GE15" t="s">
        <v>22</v>
      </c>
      <c r="GF15">
        <v>182.48945071845199</v>
      </c>
      <c r="GG15">
        <v>283.050515862346</v>
      </c>
      <c r="GH15">
        <v>436.08095780620698</v>
      </c>
      <c r="GI15">
        <v>493.275407151286</v>
      </c>
      <c r="GJ15">
        <v>579.08872058498798</v>
      </c>
      <c r="GK15">
        <v>754.60341082685102</v>
      </c>
      <c r="GL15" s="19"/>
      <c r="GM15" s="14"/>
      <c r="GN15" s="15">
        <v>5.0026505353704996E-3</v>
      </c>
      <c r="GO15">
        <v>318.67200792401798</v>
      </c>
      <c r="GP15">
        <v>505.06818116131598</v>
      </c>
      <c r="GQ15">
        <v>746.96592697099902</v>
      </c>
      <c r="GR15">
        <v>135.40922698159</v>
      </c>
      <c r="GS15">
        <v>190.77417505173599</v>
      </c>
      <c r="GT15">
        <v>240.37106234303801</v>
      </c>
      <c r="GU15">
        <v>265.66003447935799</v>
      </c>
      <c r="GV15">
        <v>309.16404753574398</v>
      </c>
      <c r="GW15">
        <v>335.42675065062599</v>
      </c>
      <c r="GX15" s="14"/>
      <c r="GY15" s="14"/>
      <c r="GZ15">
        <f>11/24</f>
        <v>0.45833333333333331</v>
      </c>
      <c r="HD15">
        <v>1</v>
      </c>
      <c r="HE15">
        <f t="shared" si="29"/>
        <v>1</v>
      </c>
      <c r="HF15">
        <v>1</v>
      </c>
      <c r="HG15">
        <v>1</v>
      </c>
      <c r="HH15">
        <f t="shared" si="30"/>
        <v>2</v>
      </c>
      <c r="HI15" t="str">
        <f t="shared" si="31"/>
        <v/>
      </c>
      <c r="HJ15" t="str">
        <f t="shared" si="6"/>
        <v>Entrenched</v>
      </c>
    </row>
    <row r="16" spans="1:221" ht="16.2" x14ac:dyDescent="0.3">
      <c r="A16" s="128"/>
      <c r="B16" s="3">
        <v>109.68</v>
      </c>
      <c r="C16" s="3"/>
      <c r="D16" s="3"/>
      <c r="E16" s="3"/>
      <c r="F16" s="3"/>
      <c r="G16" s="3"/>
      <c r="H16" s="3"/>
      <c r="I16" s="3"/>
      <c r="J16" s="3"/>
      <c r="K16" s="3"/>
      <c r="L16" s="3"/>
      <c r="M16" s="3"/>
      <c r="N16" s="3"/>
      <c r="O16" s="3"/>
      <c r="P16" s="3"/>
      <c r="Q16" s="3"/>
      <c r="R16" s="3"/>
      <c r="S16" s="3"/>
      <c r="T16" s="3"/>
      <c r="U16" s="3"/>
      <c r="V16" s="3"/>
      <c r="W16" s="3"/>
      <c r="X16" s="3" t="str">
        <f t="shared" si="11"/>
        <v/>
      </c>
      <c r="Y16" s="3"/>
      <c r="Z16" s="3" t="str">
        <f t="shared" si="12"/>
        <v/>
      </c>
      <c r="AA16" s="3">
        <f t="shared" si="0"/>
        <v>0</v>
      </c>
      <c r="AB16" s="3"/>
      <c r="AC16" s="3"/>
      <c r="AD16" s="3" t="str">
        <f t="shared" si="13"/>
        <v/>
      </c>
      <c r="AE16" s="3"/>
      <c r="AF16" s="3" t="str">
        <f t="shared" si="14"/>
        <v/>
      </c>
      <c r="AG16" s="3">
        <v>0</v>
      </c>
      <c r="AH16" s="3" t="s">
        <v>123</v>
      </c>
      <c r="AI16" s="3"/>
      <c r="AJ16" s="3">
        <v>1.44147312641144</v>
      </c>
      <c r="AK16" s="3">
        <v>1600</v>
      </c>
      <c r="AL16" s="5">
        <v>19</v>
      </c>
      <c r="AM16" s="5"/>
      <c r="AN16" s="5"/>
      <c r="AO16" s="5"/>
      <c r="AP16" s="5">
        <v>0</v>
      </c>
      <c r="AQ16" s="3" t="s">
        <v>96</v>
      </c>
      <c r="AR16" s="3"/>
      <c r="AS16" s="5" t="s">
        <v>45</v>
      </c>
      <c r="AT16" s="3" t="s">
        <v>120</v>
      </c>
      <c r="AU16" s="3"/>
      <c r="AV16" s="3"/>
      <c r="AW16" s="23"/>
      <c r="AX16" s="3" t="s">
        <v>129</v>
      </c>
      <c r="AY16" s="7" t="s">
        <v>50</v>
      </c>
      <c r="AZ16" s="7"/>
      <c r="BA16" s="28" t="str">
        <f t="shared" si="26"/>
        <v>NE</v>
      </c>
      <c r="BB16" s="7" t="s">
        <v>50</v>
      </c>
      <c r="BC16" s="4"/>
      <c r="BD16" s="23" t="str">
        <f t="shared" si="16"/>
        <v/>
      </c>
      <c r="BE16" s="5" t="s">
        <v>82</v>
      </c>
      <c r="BF16" s="5" t="s">
        <v>82</v>
      </c>
      <c r="BG16" s="5"/>
      <c r="BH16" s="3"/>
      <c r="BI16" s="3" t="str">
        <f t="shared" si="15"/>
        <v/>
      </c>
      <c r="BJ16" s="3"/>
      <c r="BK16" s="3"/>
      <c r="BL16" s="56" t="str">
        <f t="shared" si="17"/>
        <v/>
      </c>
      <c r="BM16" s="3" t="s">
        <v>162</v>
      </c>
      <c r="BN16" s="3"/>
      <c r="BO16" s="3"/>
      <c r="BP16" s="3">
        <f t="shared" si="18"/>
        <v>0</v>
      </c>
      <c r="BQ16" s="57" t="str">
        <f t="shared" si="19"/>
        <v/>
      </c>
      <c r="BR16" s="3"/>
      <c r="BS16" s="3"/>
      <c r="BT16" s="3"/>
      <c r="BU16" s="3"/>
      <c r="BV16" s="3"/>
      <c r="BW16" s="99" t="s">
        <v>50</v>
      </c>
      <c r="BX16" s="3">
        <v>14.5878920495988</v>
      </c>
      <c r="BY16" s="170">
        <f t="shared" si="20"/>
        <v>15</v>
      </c>
      <c r="BZ16" s="170">
        <f t="shared" si="7"/>
        <v>1</v>
      </c>
      <c r="CA16" s="170">
        <f t="shared" si="8"/>
        <v>0</v>
      </c>
      <c r="CB16" s="170" t="str">
        <f t="shared" si="9"/>
        <v/>
      </c>
      <c r="CC16" s="170" t="str">
        <f t="shared" si="10"/>
        <v>15</v>
      </c>
      <c r="CD16" s="27"/>
      <c r="CE16" s="109" t="s">
        <v>41</v>
      </c>
      <c r="CF16" s="95">
        <v>116</v>
      </c>
      <c r="CG16" s="171" t="s">
        <v>50</v>
      </c>
      <c r="CH16" s="4">
        <f t="shared" si="1"/>
        <v>2.8751700000000002</v>
      </c>
      <c r="CI16" s="16">
        <v>1.8162245521840001E-3</v>
      </c>
      <c r="CJ16" s="7" t="str">
        <f t="shared" si="21"/>
        <v>---</v>
      </c>
      <c r="CK16" s="3" t="s">
        <v>129</v>
      </c>
      <c r="CL16" s="7">
        <v>12</v>
      </c>
      <c r="CM16" s="98">
        <v>1.3</v>
      </c>
      <c r="CN16" s="147" t="s">
        <v>50</v>
      </c>
      <c r="CO16" s="145" t="str">
        <f t="shared" si="22"/>
        <v>Q2</v>
      </c>
      <c r="CP16" s="87" t="str">
        <f t="shared" si="23"/>
        <v>---</v>
      </c>
      <c r="CQ16" s="109" t="s">
        <v>41</v>
      </c>
      <c r="CR16" s="5" t="s">
        <v>129</v>
      </c>
      <c r="CS16" s="137">
        <v>56.467965372482297</v>
      </c>
      <c r="CT16" s="95">
        <v>56.467965372482297</v>
      </c>
      <c r="CU16" s="95">
        <v>56.467965372482297</v>
      </c>
      <c r="CV16" s="95">
        <v>56.467965372482297</v>
      </c>
      <c r="CW16" s="95">
        <v>56.467965372482297</v>
      </c>
      <c r="CX16" s="96">
        <v>56.467965372482297</v>
      </c>
      <c r="CY16" s="137">
        <v>2.5056658195153259</v>
      </c>
      <c r="CZ16" s="95">
        <v>2.7488117430712511</v>
      </c>
      <c r="DA16" s="95">
        <v>3.0487574057087339</v>
      </c>
      <c r="DB16" s="95">
        <v>3.3922276705266818</v>
      </c>
      <c r="DC16" s="95">
        <v>3.8125007376259488</v>
      </c>
      <c r="DD16" s="96">
        <v>6.1413529187087024</v>
      </c>
      <c r="DE16" s="204" t="s">
        <v>261</v>
      </c>
      <c r="DF16" s="7" t="s">
        <v>262</v>
      </c>
      <c r="DG16" s="7" t="s">
        <v>50</v>
      </c>
      <c r="DH16" s="7">
        <v>34</v>
      </c>
      <c r="DI16" s="7">
        <v>300</v>
      </c>
      <c r="DJ16" s="7" t="s">
        <v>50</v>
      </c>
      <c r="DK16" s="136" t="s">
        <v>50</v>
      </c>
      <c r="DL16" s="95">
        <v>46.410348257260601</v>
      </c>
      <c r="DM16" s="95">
        <v>60.039617402117798</v>
      </c>
      <c r="DN16" s="95">
        <v>81.019011966525596</v>
      </c>
      <c r="DO16" s="95">
        <v>90.692760566358103</v>
      </c>
      <c r="DP16" s="95">
        <v>100.861399524883</v>
      </c>
      <c r="DQ16" s="96">
        <v>126.94518984715999</v>
      </c>
      <c r="DR16" t="b">
        <f t="shared" si="24"/>
        <v>0</v>
      </c>
      <c r="EO16" s="163" t="s">
        <v>41</v>
      </c>
      <c r="EP16" s="92" t="str">
        <f t="shared" si="25"/>
        <v>Q2</v>
      </c>
      <c r="EQ16" s="22" t="b">
        <f t="shared" si="2"/>
        <v>1</v>
      </c>
      <c r="ER16" s="75">
        <v>1.3</v>
      </c>
      <c r="ES16" s="89">
        <v>12</v>
      </c>
      <c r="ET16" s="28" t="str">
        <f t="shared" si="28"/>
        <v>NE</v>
      </c>
      <c r="EU16" s="68" t="s">
        <v>41</v>
      </c>
      <c r="EV16" s="4">
        <v>2.8751700000000002</v>
      </c>
      <c r="EW16" s="16">
        <v>1.8162245521840001E-3</v>
      </c>
      <c r="EX16" s="90" t="s">
        <v>50</v>
      </c>
      <c r="EY16" s="74" t="s">
        <v>30</v>
      </c>
      <c r="EZ16" s="77" t="s">
        <v>86</v>
      </c>
      <c r="FA16" s="77" t="s">
        <v>86</v>
      </c>
      <c r="FB16" s="78" t="s">
        <v>45</v>
      </c>
      <c r="FC16" s="85" t="s">
        <v>96</v>
      </c>
      <c r="FD16" s="22"/>
      <c r="FE16" s="22"/>
      <c r="FF16" s="11"/>
      <c r="FG16" s="8">
        <v>2.79285582136625</v>
      </c>
      <c r="FH16" s="9">
        <v>3.0360017449221002</v>
      </c>
      <c r="FI16" s="9">
        <v>3.33594740756027</v>
      </c>
      <c r="FJ16" s="9">
        <v>3.6794176723779599</v>
      </c>
      <c r="FK16" s="9">
        <v>4.0996907394772499</v>
      </c>
      <c r="FL16" s="10">
        <v>6.4285429205598197</v>
      </c>
      <c r="FM16" s="14"/>
      <c r="FN16" s="3">
        <v>2875.17</v>
      </c>
      <c r="FO16" s="5"/>
      <c r="FP16" s="5" t="str">
        <f t="shared" si="3"/>
        <v>na</v>
      </c>
      <c r="FQ16" s="5"/>
      <c r="FR16" s="5"/>
      <c r="FS16" s="5">
        <v>2</v>
      </c>
      <c r="FT16" s="5" t="str">
        <f t="shared" si="32"/>
        <v>Q2</v>
      </c>
      <c r="FU16" s="68" t="s">
        <v>41</v>
      </c>
      <c r="FV16" s="5">
        <v>2</v>
      </c>
      <c r="FW16" s="5" t="str">
        <f t="shared" si="4"/>
        <v>Q2</v>
      </c>
      <c r="FX16" s="5"/>
      <c r="FY16" s="5" t="str">
        <f t="shared" si="4"/>
        <v>---</v>
      </c>
      <c r="FZ16" s="5"/>
      <c r="GA16" s="19">
        <v>74.972610315216102</v>
      </c>
      <c r="GB16">
        <v>74.972610315216102</v>
      </c>
      <c r="GC16" s="4">
        <f t="shared" si="5"/>
        <v>74.972610315216102</v>
      </c>
      <c r="GE16" t="s">
        <v>41</v>
      </c>
      <c r="GF16">
        <v>46.410348257260601</v>
      </c>
      <c r="GG16">
        <v>60.039617402117798</v>
      </c>
      <c r="GH16">
        <v>81.019011966525596</v>
      </c>
      <c r="GI16">
        <v>90.692760566358103</v>
      </c>
      <c r="GJ16">
        <v>100.861399524883</v>
      </c>
      <c r="GK16">
        <v>126.94518984715999</v>
      </c>
      <c r="GL16" s="19"/>
      <c r="GM16" s="14"/>
      <c r="GN16" s="15">
        <v>1.8162245521840001E-3</v>
      </c>
      <c r="GR16">
        <v>12.9990572967109</v>
      </c>
      <c r="GS16">
        <v>16.500169852739401</v>
      </c>
      <c r="GT16">
        <v>23.242803890369601</v>
      </c>
      <c r="GU16">
        <v>26.878199315100499</v>
      </c>
      <c r="GV16">
        <v>30.8662515374299</v>
      </c>
      <c r="GW16">
        <v>40.891572321204002</v>
      </c>
      <c r="GX16" s="14"/>
      <c r="GY16" s="14"/>
      <c r="GZ16">
        <v>3</v>
      </c>
      <c r="HA16">
        <v>24</v>
      </c>
      <c r="HB16">
        <f>GZ16/HA16</f>
        <v>0.125</v>
      </c>
      <c r="HE16" t="str">
        <f t="shared" si="29"/>
        <v/>
      </c>
      <c r="HF16">
        <v>1</v>
      </c>
      <c r="HH16">
        <f t="shared" si="30"/>
        <v>1</v>
      </c>
      <c r="HI16">
        <f t="shared" si="31"/>
        <v>1</v>
      </c>
      <c r="HJ16" t="str">
        <f t="shared" si="6"/>
        <v/>
      </c>
    </row>
    <row r="17" spans="1:249" x14ac:dyDescent="0.3">
      <c r="A17" s="128" t="s">
        <v>85</v>
      </c>
      <c r="B17" s="3">
        <v>99.69</v>
      </c>
      <c r="C17" s="3"/>
      <c r="D17" s="3"/>
      <c r="E17" s="3"/>
      <c r="F17" s="3"/>
      <c r="G17" s="3"/>
      <c r="H17" s="3"/>
      <c r="I17" s="3"/>
      <c r="J17" s="3"/>
      <c r="K17" s="3"/>
      <c r="L17" s="3"/>
      <c r="M17" s="3">
        <v>0</v>
      </c>
      <c r="N17" s="3">
        <v>0</v>
      </c>
      <c r="O17" s="3">
        <v>0</v>
      </c>
      <c r="P17" s="3">
        <v>0</v>
      </c>
      <c r="Q17" s="3">
        <v>0</v>
      </c>
      <c r="R17" s="3">
        <v>0</v>
      </c>
      <c r="S17" s="3"/>
      <c r="T17" s="3">
        <v>13</v>
      </c>
      <c r="U17" s="3" t="s">
        <v>128</v>
      </c>
      <c r="V17" s="3" t="s">
        <v>161</v>
      </c>
      <c r="W17" s="3">
        <v>2271.2600000000002</v>
      </c>
      <c r="X17" s="3">
        <f t="shared" si="11"/>
        <v>9.722365271880648E-2</v>
      </c>
      <c r="Y17" s="3">
        <v>2866.08</v>
      </c>
      <c r="Z17" s="3">
        <f t="shared" si="12"/>
        <v>0.12268554308371425</v>
      </c>
      <c r="AA17" s="3">
        <f t="shared" si="0"/>
        <v>0.21990919580252072</v>
      </c>
      <c r="AB17" s="3">
        <v>8.64</v>
      </c>
      <c r="AC17" s="3">
        <v>2954.88</v>
      </c>
      <c r="AD17" s="3">
        <f t="shared" si="13"/>
        <v>0.12648671968235556</v>
      </c>
      <c r="AE17" s="3">
        <v>0</v>
      </c>
      <c r="AF17" s="3">
        <f t="shared" si="14"/>
        <v>0</v>
      </c>
      <c r="AG17" s="3">
        <v>23361</v>
      </c>
      <c r="AH17" s="3" t="s">
        <v>123</v>
      </c>
      <c r="AI17" s="3">
        <v>9</v>
      </c>
      <c r="AJ17" s="3">
        <v>1.20853590965271</v>
      </c>
      <c r="AK17" s="3">
        <v>1500</v>
      </c>
      <c r="AL17" s="5">
        <v>21</v>
      </c>
      <c r="AM17" s="5" t="s">
        <v>85</v>
      </c>
      <c r="AN17" s="5" t="s">
        <v>81</v>
      </c>
      <c r="AO17" s="5">
        <v>13</v>
      </c>
      <c r="AP17" s="5">
        <v>0.5625</v>
      </c>
      <c r="AQ17" s="3" t="s">
        <v>96</v>
      </c>
      <c r="AR17" s="3" t="s">
        <v>131</v>
      </c>
      <c r="AS17" s="5" t="s">
        <v>1</v>
      </c>
      <c r="AT17" s="3" t="s">
        <v>120</v>
      </c>
      <c r="AU17" s="3" t="s">
        <v>81</v>
      </c>
      <c r="AV17" s="3"/>
      <c r="AW17" s="23" t="s">
        <v>96</v>
      </c>
      <c r="AX17" s="3" t="s">
        <v>129</v>
      </c>
      <c r="AY17" s="23">
        <v>5.9250302314758301</v>
      </c>
      <c r="AZ17" s="23"/>
      <c r="BA17" s="28" t="str">
        <f t="shared" si="26"/>
        <v>NE</v>
      </c>
      <c r="BB17" s="23">
        <v>1.75609755516052</v>
      </c>
      <c r="BC17" s="4">
        <f t="shared" si="27"/>
        <v>1.8</v>
      </c>
      <c r="BD17" s="23" t="b">
        <f t="shared" si="16"/>
        <v>1</v>
      </c>
      <c r="BE17" s="5" t="s">
        <v>90</v>
      </c>
      <c r="BF17" s="5" t="s">
        <v>82</v>
      </c>
      <c r="BG17" s="5">
        <v>1500</v>
      </c>
      <c r="BH17" s="3">
        <v>6031.6</v>
      </c>
      <c r="BI17" s="3">
        <f t="shared" si="15"/>
        <v>0.25818892761672074</v>
      </c>
      <c r="BJ17" s="3">
        <v>855.36</v>
      </c>
      <c r="BK17" s="3">
        <f t="shared" ref="BK17:BK30" si="33">IF(ISBLANK(BJ17),"",BJ17/($CH17*3.2808399*1000))</f>
        <v>3.6614576750155552E-2</v>
      </c>
      <c r="BL17" s="56">
        <f t="shared" si="17"/>
        <v>0.2948035043668763</v>
      </c>
      <c r="BM17" s="3" t="s">
        <v>162</v>
      </c>
      <c r="BN17" s="3">
        <v>4.085</v>
      </c>
      <c r="BO17" s="3">
        <v>7680.4101563000004</v>
      </c>
      <c r="BP17" s="3">
        <f t="shared" si="18"/>
        <v>7680.4101563000004</v>
      </c>
      <c r="BQ17" s="57">
        <f t="shared" si="19"/>
        <v>0.16438398284963088</v>
      </c>
      <c r="BR17" s="3">
        <v>4441.8100000000004</v>
      </c>
      <c r="BS17" s="3">
        <v>3238.6</v>
      </c>
      <c r="BT17" s="3">
        <v>4.1794289999999998</v>
      </c>
      <c r="BU17" s="3">
        <v>3.9548260000000002</v>
      </c>
      <c r="BV17" s="3" t="s">
        <v>87</v>
      </c>
      <c r="BW17" s="23" t="s">
        <v>96</v>
      </c>
      <c r="BX17" s="3">
        <v>15.0466445982546</v>
      </c>
      <c r="BY17" s="170">
        <f t="shared" si="20"/>
        <v>15</v>
      </c>
      <c r="BZ17" s="170">
        <f t="shared" si="7"/>
        <v>1</v>
      </c>
      <c r="CA17" s="170">
        <f t="shared" si="8"/>
        <v>0</v>
      </c>
      <c r="CB17" s="170" t="str">
        <f t="shared" si="9"/>
        <v/>
      </c>
      <c r="CC17" s="170" t="str">
        <f t="shared" si="10"/>
        <v>15</v>
      </c>
      <c r="CD17" s="27"/>
      <c r="CE17" s="109" t="s">
        <v>23</v>
      </c>
      <c r="CF17" s="4">
        <v>96.1</v>
      </c>
      <c r="CG17" s="95">
        <v>132.29539622489901</v>
      </c>
      <c r="CH17" s="4">
        <f t="shared" si="1"/>
        <v>7.1204900000000002</v>
      </c>
      <c r="CI17" s="16">
        <v>2.5397428065815002E-3</v>
      </c>
      <c r="CJ17" s="7" t="str">
        <f t="shared" si="21"/>
        <v>VB (15)</v>
      </c>
      <c r="CK17" s="3" t="s">
        <v>129</v>
      </c>
      <c r="CL17" s="23">
        <v>5.9250302314758301</v>
      </c>
      <c r="CM17" s="4">
        <v>1.8</v>
      </c>
      <c r="CN17" s="148">
        <v>0.2948035043668763</v>
      </c>
      <c r="CO17" s="145" t="str">
        <f t="shared" si="22"/>
        <v>Q2</v>
      </c>
      <c r="CP17" s="87" t="str">
        <f t="shared" si="23"/>
        <v>---</v>
      </c>
      <c r="CQ17" s="109" t="s">
        <v>23</v>
      </c>
      <c r="CR17" s="5" t="s">
        <v>129</v>
      </c>
      <c r="CS17" s="137">
        <v>58.756490073014596</v>
      </c>
      <c r="CT17" s="95">
        <v>81.0004648556489</v>
      </c>
      <c r="CU17" s="95">
        <v>81.0004648556489</v>
      </c>
      <c r="CV17" s="95">
        <v>81.0004648556489</v>
      </c>
      <c r="CW17" s="95">
        <v>81.0004648556489</v>
      </c>
      <c r="CX17" s="96">
        <v>81.0004648556489</v>
      </c>
      <c r="CY17" s="137">
        <v>4.039169028759706</v>
      </c>
      <c r="CZ17" s="95">
        <v>6.5479159583963886</v>
      </c>
      <c r="DA17" s="95">
        <v>9.6659099387543694</v>
      </c>
      <c r="DB17" s="95">
        <v>10.27239129306191</v>
      </c>
      <c r="DC17" s="95">
        <v>10.355071277608522</v>
      </c>
      <c r="DD17" s="96">
        <v>10.547435747946308</v>
      </c>
      <c r="DE17" s="205">
        <v>143.04332870333801</v>
      </c>
      <c r="DF17" s="3">
        <v>264.27219539247</v>
      </c>
      <c r="DG17" s="3">
        <v>488.21525354078898</v>
      </c>
      <c r="DH17" s="3">
        <v>143.04332870333801</v>
      </c>
      <c r="DI17" s="3">
        <v>264.27219539247</v>
      </c>
      <c r="DJ17" s="3">
        <v>488.21525354078898</v>
      </c>
      <c r="DK17" s="92" t="str">
        <f t="shared" ref="DK17:DK30" si="34">IF(FP17="Q1000","&gt;Q500",FP17)</f>
        <v>Q50</v>
      </c>
      <c r="DL17" s="95">
        <v>73.247701448761603</v>
      </c>
      <c r="DM17" s="95">
        <v>97.237446637520193</v>
      </c>
      <c r="DN17" s="95">
        <v>126.832623085469</v>
      </c>
      <c r="DO17" s="95">
        <v>140.314737684775</v>
      </c>
      <c r="DP17" s="95">
        <v>155.88093535873699</v>
      </c>
      <c r="DQ17" s="96">
        <v>198.703640109215</v>
      </c>
      <c r="DR17" t="b">
        <f t="shared" si="24"/>
        <v>1</v>
      </c>
      <c r="DS17" t="s">
        <v>23</v>
      </c>
      <c r="DT17">
        <v>132.29539622489901</v>
      </c>
      <c r="EO17" s="163" t="s">
        <v>23</v>
      </c>
      <c r="EP17" s="92" t="str">
        <f t="shared" si="25"/>
        <v>Q2</v>
      </c>
      <c r="EQ17" s="22" t="b">
        <f t="shared" si="2"/>
        <v>1</v>
      </c>
      <c r="ER17" s="4">
        <v>1.8</v>
      </c>
      <c r="ES17" s="58">
        <v>5.9250302314758301</v>
      </c>
      <c r="ET17" s="28" t="str">
        <f t="shared" si="28"/>
        <v>NE</v>
      </c>
      <c r="EU17" s="68" t="s">
        <v>23</v>
      </c>
      <c r="EV17" s="4">
        <v>7.1204900000000002</v>
      </c>
      <c r="EW17" s="16">
        <v>2.5397428065815002E-3</v>
      </c>
      <c r="EX17" s="5" t="s">
        <v>33</v>
      </c>
      <c r="EY17" s="74" t="s">
        <v>30</v>
      </c>
      <c r="EZ17" s="77" t="s">
        <v>86</v>
      </c>
      <c r="FA17" s="77" t="s">
        <v>86</v>
      </c>
      <c r="FB17" s="78" t="s">
        <v>1</v>
      </c>
      <c r="FC17" s="58" t="s">
        <v>96</v>
      </c>
      <c r="FD17" s="22"/>
      <c r="FE17" s="22"/>
      <c r="FF17" s="11"/>
      <c r="FG17" s="8">
        <v>4.2352726682692596</v>
      </c>
      <c r="FH17" s="9">
        <v>6.7440195979060196</v>
      </c>
      <c r="FI17" s="9">
        <v>9.8620211257021602</v>
      </c>
      <c r="FJ17" s="9">
        <v>10.4685977704185</v>
      </c>
      <c r="FK17" s="9">
        <v>10.552984317223601</v>
      </c>
      <c r="FL17" s="10">
        <v>10.7567797726531</v>
      </c>
      <c r="FM17" s="14"/>
      <c r="FN17" s="3">
        <v>7120.49</v>
      </c>
      <c r="FO17" s="5">
        <v>50</v>
      </c>
      <c r="FP17" s="5" t="str">
        <f t="shared" si="3"/>
        <v>Q50</v>
      </c>
      <c r="FQ17" s="5">
        <v>754633</v>
      </c>
      <c r="FR17" s="5">
        <v>754633</v>
      </c>
      <c r="FS17" s="5">
        <v>2</v>
      </c>
      <c r="FT17" s="5" t="str">
        <f t="shared" si="32"/>
        <v>Q2</v>
      </c>
      <c r="FU17" s="68" t="s">
        <v>23</v>
      </c>
      <c r="FV17" s="5">
        <v>2</v>
      </c>
      <c r="FW17" s="5" t="str">
        <f t="shared" si="4"/>
        <v>Q2</v>
      </c>
      <c r="FX17" s="5"/>
      <c r="FY17" s="5" t="str">
        <f t="shared" si="4"/>
        <v>---</v>
      </c>
      <c r="FZ17" s="5">
        <v>0.5</v>
      </c>
      <c r="GA17" s="4">
        <v>105.980487297924</v>
      </c>
      <c r="GB17" s="5">
        <v>105.980487297924</v>
      </c>
      <c r="GC17" s="4">
        <f t="shared" si="5"/>
        <v>105.980487297924</v>
      </c>
      <c r="GE17" t="s">
        <v>23</v>
      </c>
      <c r="GF17">
        <v>73.247701448761603</v>
      </c>
      <c r="GG17">
        <v>97.237446637520193</v>
      </c>
      <c r="GH17">
        <v>126.832623085469</v>
      </c>
      <c r="GI17">
        <v>140.314737684775</v>
      </c>
      <c r="GJ17">
        <v>155.88093535873699</v>
      </c>
      <c r="GK17">
        <v>198.703640109215</v>
      </c>
      <c r="GL17" s="19"/>
      <c r="GM17" s="14"/>
      <c r="GN17" s="15">
        <v>2.5397428065815002E-3</v>
      </c>
      <c r="GO17">
        <v>143.04332870333801</v>
      </c>
      <c r="GP17">
        <v>264.27219539247</v>
      </c>
      <c r="GQ17">
        <v>488.21525354078898</v>
      </c>
      <c r="GR17">
        <v>22.4236779557483</v>
      </c>
      <c r="GS17">
        <v>26.470740740087599</v>
      </c>
      <c r="GT17">
        <v>33.1937467585321</v>
      </c>
      <c r="GU17">
        <v>36.747286049943803</v>
      </c>
      <c r="GV17">
        <v>41.709183696784599</v>
      </c>
      <c r="GW17">
        <v>57.308550501050398</v>
      </c>
      <c r="GX17" s="14"/>
      <c r="GY17" s="14"/>
      <c r="HC17">
        <v>1</v>
      </c>
      <c r="HE17" t="str">
        <f t="shared" si="29"/>
        <v/>
      </c>
      <c r="HF17">
        <v>1</v>
      </c>
      <c r="HH17">
        <f t="shared" si="30"/>
        <v>1</v>
      </c>
      <c r="HI17">
        <f t="shared" si="31"/>
        <v>1</v>
      </c>
      <c r="HJ17" t="str">
        <f t="shared" si="6"/>
        <v/>
      </c>
    </row>
    <row r="18" spans="1:249" x14ac:dyDescent="0.3">
      <c r="A18" s="128" t="s">
        <v>124</v>
      </c>
      <c r="B18" s="3">
        <v>89.78</v>
      </c>
      <c r="C18" s="3"/>
      <c r="D18" s="3"/>
      <c r="E18" s="3"/>
      <c r="F18" s="3"/>
      <c r="G18" s="3"/>
      <c r="H18" s="3"/>
      <c r="I18" s="3"/>
      <c r="J18" s="3"/>
      <c r="K18" s="3"/>
      <c r="L18" s="3"/>
      <c r="M18" s="3">
        <v>0</v>
      </c>
      <c r="N18" s="3">
        <v>0</v>
      </c>
      <c r="O18" s="3">
        <v>0</v>
      </c>
      <c r="P18" s="3">
        <v>0</v>
      </c>
      <c r="Q18" s="3">
        <v>0</v>
      </c>
      <c r="R18" s="3">
        <v>0</v>
      </c>
      <c r="S18" s="3"/>
      <c r="T18" s="3">
        <v>12</v>
      </c>
      <c r="U18" s="3" t="s">
        <v>128</v>
      </c>
      <c r="V18" s="3" t="s">
        <v>161</v>
      </c>
      <c r="W18" s="3">
        <v>558.79999999999995</v>
      </c>
      <c r="X18" s="3">
        <f t="shared" si="11"/>
        <v>7.8339691254563928E-2</v>
      </c>
      <c r="Y18" s="3">
        <v>866.32</v>
      </c>
      <c r="Z18" s="3">
        <f t="shared" si="12"/>
        <v>0.12145175613395461</v>
      </c>
      <c r="AA18" s="3">
        <f t="shared" si="0"/>
        <v>0.19979144738851853</v>
      </c>
      <c r="AB18" s="3">
        <v>8.81</v>
      </c>
      <c r="AC18" s="3">
        <v>1731.81</v>
      </c>
      <c r="AD18" s="3">
        <f t="shared" si="13"/>
        <v>0.24278715231132134</v>
      </c>
      <c r="AE18" s="3">
        <v>522.91</v>
      </c>
      <c r="AF18" s="3">
        <f t="shared" si="14"/>
        <v>7.3308174577530472E-2</v>
      </c>
      <c r="AG18" s="3">
        <v>7133</v>
      </c>
      <c r="AH18" s="3" t="s">
        <v>123</v>
      </c>
      <c r="AI18" s="3">
        <v>8</v>
      </c>
      <c r="AJ18" s="3">
        <v>1.03391790390015</v>
      </c>
      <c r="AK18" s="3">
        <v>619</v>
      </c>
      <c r="AL18" s="5">
        <v>22</v>
      </c>
      <c r="AM18" s="5" t="s">
        <v>85</v>
      </c>
      <c r="AN18" s="5" t="s">
        <v>86</v>
      </c>
      <c r="AO18" s="5">
        <v>13</v>
      </c>
      <c r="AP18" s="5">
        <v>0.57499999999999996</v>
      </c>
      <c r="AQ18" s="3" t="s">
        <v>89</v>
      </c>
      <c r="AR18" s="3" t="s">
        <v>125</v>
      </c>
      <c r="AS18" s="5" t="s">
        <v>1</v>
      </c>
      <c r="AT18" s="3" t="s">
        <v>120</v>
      </c>
      <c r="AU18" s="3" t="s">
        <v>81</v>
      </c>
      <c r="AV18" s="3"/>
      <c r="AW18" s="23" t="s">
        <v>89</v>
      </c>
      <c r="AX18" s="3" t="s">
        <v>129</v>
      </c>
      <c r="AY18" s="23">
        <v>8.5616436004638707</v>
      </c>
      <c r="AZ18" s="23"/>
      <c r="BA18" s="28" t="str">
        <f t="shared" si="26"/>
        <v>NE</v>
      </c>
      <c r="BB18" s="23">
        <v>1.59312844276428</v>
      </c>
      <c r="BC18" s="4">
        <f t="shared" si="27"/>
        <v>1.6</v>
      </c>
      <c r="BD18" s="23" t="b">
        <f t="shared" si="16"/>
        <v>1</v>
      </c>
      <c r="BE18" s="5" t="s">
        <v>82</v>
      </c>
      <c r="BF18" s="5" t="s">
        <v>82</v>
      </c>
      <c r="BG18" s="5">
        <v>619</v>
      </c>
      <c r="BH18" s="3">
        <v>1784.46</v>
      </c>
      <c r="BI18" s="3">
        <f t="shared" si="15"/>
        <v>0.25016829895511661</v>
      </c>
      <c r="BJ18" s="3">
        <v>377.05</v>
      </c>
      <c r="BK18" s="3">
        <f t="shared" si="33"/>
        <v>5.2859664616201382E-2</v>
      </c>
      <c r="BL18" s="56">
        <f t="shared" si="17"/>
        <v>0.303027963571318</v>
      </c>
      <c r="BM18" s="3" t="s">
        <v>162</v>
      </c>
      <c r="BN18" s="3">
        <v>4.2880000000000003</v>
      </c>
      <c r="BO18" s="3">
        <v>2737.6501465000001</v>
      </c>
      <c r="BP18" s="3">
        <f t="shared" si="18"/>
        <v>2737.6501465000001</v>
      </c>
      <c r="BQ18" s="57">
        <f t="shared" si="19"/>
        <v>0.19189930855388487</v>
      </c>
      <c r="BR18" s="3">
        <v>1608.39</v>
      </c>
      <c r="BS18" s="3">
        <v>1129.26</v>
      </c>
      <c r="BT18" s="3">
        <v>4.6173999999999999</v>
      </c>
      <c r="BU18" s="3">
        <v>3.8194659999999998</v>
      </c>
      <c r="BV18" s="3" t="s">
        <v>87</v>
      </c>
      <c r="BW18" s="23" t="s">
        <v>89</v>
      </c>
      <c r="BX18" s="3">
        <v>6.8946313210069103</v>
      </c>
      <c r="BY18" s="170">
        <f t="shared" si="20"/>
        <v>6.9</v>
      </c>
      <c r="BZ18" s="170">
        <f t="shared" si="7"/>
        <v>0</v>
      </c>
      <c r="CA18" s="170">
        <f t="shared" si="8"/>
        <v>0.90000000000000036</v>
      </c>
      <c r="CB18" s="170" t="str">
        <f t="shared" si="9"/>
        <v/>
      </c>
      <c r="CC18" s="170" t="str">
        <f t="shared" si="10"/>
        <v>6.9</v>
      </c>
      <c r="CD18" s="27"/>
      <c r="CE18" s="109" t="s">
        <v>4</v>
      </c>
      <c r="CF18" s="4">
        <v>81.400000000000006</v>
      </c>
      <c r="CG18" s="95">
        <v>318.64130290279002</v>
      </c>
      <c r="CH18" s="4">
        <f t="shared" si="1"/>
        <v>2.17415</v>
      </c>
      <c r="CI18" s="16">
        <v>3.2202596484366E-3</v>
      </c>
      <c r="CJ18" s="7" t="str">
        <f t="shared" si="21"/>
        <v>BD (6.9)</v>
      </c>
      <c r="CK18" s="3" t="s">
        <v>129</v>
      </c>
      <c r="CL18" s="23">
        <v>8.5616436004638707</v>
      </c>
      <c r="CM18" s="4">
        <v>1.6</v>
      </c>
      <c r="CN18" s="148">
        <v>0.303027963571318</v>
      </c>
      <c r="CO18" s="145" t="str">
        <f t="shared" si="22"/>
        <v>Q5</v>
      </c>
      <c r="CP18" s="87" t="str">
        <f t="shared" si="23"/>
        <v>---</v>
      </c>
      <c r="CQ18" s="109" t="s">
        <v>4</v>
      </c>
      <c r="CR18" s="5" t="s">
        <v>129</v>
      </c>
      <c r="CS18" s="137">
        <v>0</v>
      </c>
      <c r="CT18" s="95">
        <v>21.1379159671595</v>
      </c>
      <c r="CU18" s="95">
        <v>86.514729894441501</v>
      </c>
      <c r="CV18" s="95">
        <v>96.445507439688996</v>
      </c>
      <c r="CW18" s="95">
        <v>96.445507439688996</v>
      </c>
      <c r="CX18" s="96">
        <v>96.445507439688996</v>
      </c>
      <c r="CY18" s="137">
        <v>0.15671432971131891</v>
      </c>
      <c r="CZ18" s="95">
        <v>0.30624802676903706</v>
      </c>
      <c r="DA18" s="95">
        <v>0.94657456185729139</v>
      </c>
      <c r="DB18" s="95">
        <v>1.2486967564824414</v>
      </c>
      <c r="DC18" s="95">
        <v>1.3330658710641905</v>
      </c>
      <c r="DD18" s="96">
        <v>1.3741788730884943</v>
      </c>
      <c r="DE18" s="205">
        <v>374.01872307616799</v>
      </c>
      <c r="DF18" s="3">
        <v>827.62652508672898</v>
      </c>
      <c r="DG18" s="3">
        <v>1778.96559521468</v>
      </c>
      <c r="DH18" s="3">
        <v>374.01872307616799</v>
      </c>
      <c r="DI18" s="3">
        <v>827.62652508672898</v>
      </c>
      <c r="DJ18" s="3">
        <v>1778.96559521468</v>
      </c>
      <c r="DK18" s="92" t="str">
        <f t="shared" si="34"/>
        <v>&gt;Q500</v>
      </c>
      <c r="DL18" s="95">
        <v>90.301348392828999</v>
      </c>
      <c r="DM18" s="95">
        <v>130.42367188456899</v>
      </c>
      <c r="DN18" s="95">
        <v>185.08210991770099</v>
      </c>
      <c r="DO18" s="95">
        <v>209.984393227064</v>
      </c>
      <c r="DP18" s="95">
        <v>229.670860979878</v>
      </c>
      <c r="DQ18" s="96">
        <v>297.764074509316</v>
      </c>
      <c r="DR18" t="b">
        <f t="shared" si="24"/>
        <v>1</v>
      </c>
      <c r="DS18" t="s">
        <v>4</v>
      </c>
      <c r="DT18">
        <v>318.64130290279002</v>
      </c>
      <c r="EO18" s="163" t="s">
        <v>4</v>
      </c>
      <c r="EP18" s="92" t="str">
        <f t="shared" si="25"/>
        <v>Q5</v>
      </c>
      <c r="EQ18" s="22" t="b">
        <f t="shared" si="2"/>
        <v>1</v>
      </c>
      <c r="ER18" s="4">
        <v>1.6</v>
      </c>
      <c r="ES18" s="58">
        <v>8.5616436004638707</v>
      </c>
      <c r="ET18" s="28" t="str">
        <f t="shared" si="28"/>
        <v>NE</v>
      </c>
      <c r="EU18" s="68" t="s">
        <v>4</v>
      </c>
      <c r="EV18" s="4">
        <v>2.17415</v>
      </c>
      <c r="EW18" s="16">
        <v>3.2202596484366E-3</v>
      </c>
      <c r="EX18" s="5" t="s">
        <v>206</v>
      </c>
      <c r="EY18" s="74" t="s">
        <v>31</v>
      </c>
      <c r="EZ18" s="77" t="s">
        <v>86</v>
      </c>
      <c r="FA18" s="77" t="s">
        <v>208</v>
      </c>
      <c r="FB18" s="78" t="s">
        <v>1</v>
      </c>
      <c r="FC18" s="58" t="s">
        <v>89</v>
      </c>
      <c r="FD18" s="22"/>
      <c r="FE18" s="22"/>
      <c r="FF18" s="11"/>
      <c r="FG18" s="8">
        <v>0.422513753598737</v>
      </c>
      <c r="FH18" s="9">
        <v>0.57204761909513901</v>
      </c>
      <c r="FI18" s="9">
        <v>1.2123741541833699</v>
      </c>
      <c r="FJ18" s="9">
        <v>1.5144963488084999</v>
      </c>
      <c r="FK18" s="9">
        <v>1.5988654633902599</v>
      </c>
      <c r="FL18" s="10">
        <v>1.6399784654146401</v>
      </c>
      <c r="FM18" s="14"/>
      <c r="FN18" s="3">
        <v>2174.15</v>
      </c>
      <c r="FO18" s="5">
        <v>1000</v>
      </c>
      <c r="FP18" s="5" t="str">
        <f t="shared" si="3"/>
        <v>Q1000</v>
      </c>
      <c r="FQ18" s="5">
        <v>139983</v>
      </c>
      <c r="FR18" s="5">
        <v>10451</v>
      </c>
      <c r="FS18" s="5">
        <v>5</v>
      </c>
      <c r="FT18" s="5" t="str">
        <f t="shared" si="32"/>
        <v>Q5</v>
      </c>
      <c r="FU18" s="68" t="s">
        <v>4</v>
      </c>
      <c r="FV18" s="5">
        <v>5</v>
      </c>
      <c r="FW18" s="5" t="str">
        <f t="shared" si="4"/>
        <v>Q5</v>
      </c>
      <c r="FX18" s="5"/>
      <c r="FY18" s="5" t="str">
        <f t="shared" si="4"/>
        <v>---</v>
      </c>
      <c r="FZ18" s="5">
        <v>0.2</v>
      </c>
      <c r="GA18" s="4">
        <v>64.385162017340093</v>
      </c>
      <c r="GB18" s="5">
        <v>4.8069360439712003</v>
      </c>
      <c r="GC18" s="4">
        <f t="shared" si="5"/>
        <v>4.8069360439712003</v>
      </c>
      <c r="GE18" t="s">
        <v>4</v>
      </c>
      <c r="GF18">
        <v>90.301348392828999</v>
      </c>
      <c r="GG18">
        <v>130.42367188456899</v>
      </c>
      <c r="GH18">
        <v>185.08210991770099</v>
      </c>
      <c r="GI18">
        <v>209.984393227064</v>
      </c>
      <c r="GJ18">
        <v>229.670860979878</v>
      </c>
      <c r="GK18">
        <v>297.764074509316</v>
      </c>
      <c r="GL18" s="19"/>
      <c r="GM18" s="14"/>
      <c r="GN18" s="15">
        <v>3.2202596484366E-3</v>
      </c>
      <c r="GO18">
        <v>374.01872307616799</v>
      </c>
      <c r="GP18">
        <v>827.62652508672898</v>
      </c>
      <c r="GQ18">
        <v>1778.96559521468</v>
      </c>
      <c r="GR18">
        <v>54.4216274502906</v>
      </c>
      <c r="GS18">
        <v>60.902903827779198</v>
      </c>
      <c r="GT18">
        <v>64.231037111011304</v>
      </c>
      <c r="GU18">
        <v>70.058020403446804</v>
      </c>
      <c r="GV18">
        <v>76.341881502986794</v>
      </c>
      <c r="GW18">
        <v>101.90106422612899</v>
      </c>
      <c r="GX18" s="14"/>
      <c r="GY18" s="14"/>
      <c r="HC18">
        <v>1</v>
      </c>
      <c r="HE18" t="str">
        <f t="shared" si="29"/>
        <v/>
      </c>
      <c r="HF18">
        <v>1</v>
      </c>
      <c r="HH18">
        <f t="shared" si="30"/>
        <v>1</v>
      </c>
      <c r="HI18">
        <f t="shared" si="31"/>
        <v>1</v>
      </c>
      <c r="HJ18" t="str">
        <f t="shared" si="6"/>
        <v/>
      </c>
    </row>
    <row r="19" spans="1:249" x14ac:dyDescent="0.3">
      <c r="A19" s="128" t="s">
        <v>85</v>
      </c>
      <c r="B19" s="3">
        <v>77.069999999999993</v>
      </c>
      <c r="C19" s="3"/>
      <c r="D19" s="3"/>
      <c r="E19" s="3"/>
      <c r="F19" s="3"/>
      <c r="G19" s="3"/>
      <c r="H19" s="3"/>
      <c r="I19" s="3"/>
      <c r="J19" s="3"/>
      <c r="K19" s="3"/>
      <c r="L19" s="3"/>
      <c r="M19" s="3">
        <v>0</v>
      </c>
      <c r="N19" s="3">
        <v>0</v>
      </c>
      <c r="O19" s="3">
        <v>0</v>
      </c>
      <c r="P19" s="3">
        <v>0</v>
      </c>
      <c r="Q19" s="3">
        <v>0</v>
      </c>
      <c r="R19" s="3">
        <v>0</v>
      </c>
      <c r="S19" s="3"/>
      <c r="T19" s="3">
        <v>9</v>
      </c>
      <c r="U19" s="3" t="s">
        <v>128</v>
      </c>
      <c r="V19" s="3" t="s">
        <v>128</v>
      </c>
      <c r="W19" s="3">
        <v>528.66999999999996</v>
      </c>
      <c r="X19" s="3">
        <f t="shared" si="11"/>
        <v>8.7385366461534331E-2</v>
      </c>
      <c r="Y19" s="3">
        <v>613.30999999999995</v>
      </c>
      <c r="Z19" s="3">
        <f t="shared" si="12"/>
        <v>0.10137575255740559</v>
      </c>
      <c r="AA19" s="3">
        <f t="shared" si="0"/>
        <v>0.18876111901893994</v>
      </c>
      <c r="AB19" s="3">
        <v>9.81</v>
      </c>
      <c r="AC19" s="3">
        <v>618.27</v>
      </c>
      <c r="AD19" s="3">
        <f t="shared" si="13"/>
        <v>0.10219560505073644</v>
      </c>
      <c r="AE19" s="3">
        <v>0</v>
      </c>
      <c r="AF19" s="3">
        <f t="shared" si="14"/>
        <v>0</v>
      </c>
      <c r="AG19" s="3">
        <v>6050</v>
      </c>
      <c r="AH19" s="3" t="s">
        <v>123</v>
      </c>
      <c r="AI19" s="3">
        <v>8</v>
      </c>
      <c r="AJ19" s="3">
        <v>1.0033167600631701</v>
      </c>
      <c r="AK19" s="3">
        <v>1267</v>
      </c>
      <c r="AL19" s="5">
        <v>19</v>
      </c>
      <c r="AM19" s="5" t="s">
        <v>85</v>
      </c>
      <c r="AN19" s="5" t="s">
        <v>81</v>
      </c>
      <c r="AO19" s="5">
        <v>12</v>
      </c>
      <c r="AP19" s="5">
        <v>0.51249999999999996</v>
      </c>
      <c r="AQ19" s="3" t="s">
        <v>96</v>
      </c>
      <c r="AR19" s="3" t="s">
        <v>85</v>
      </c>
      <c r="AS19" s="5" t="s">
        <v>3</v>
      </c>
      <c r="AT19" s="3" t="s">
        <v>120</v>
      </c>
      <c r="AU19" s="3" t="s">
        <v>81</v>
      </c>
      <c r="AV19" s="3"/>
      <c r="AW19" s="23" t="s">
        <v>89</v>
      </c>
      <c r="AX19" s="3" t="s">
        <v>129</v>
      </c>
      <c r="AY19" s="23">
        <v>3.7223167419433598</v>
      </c>
      <c r="AZ19" s="23"/>
      <c r="BA19" s="28" t="str">
        <f t="shared" si="26"/>
        <v>NE</v>
      </c>
      <c r="BB19" s="23">
        <v>1.6268656253814699</v>
      </c>
      <c r="BC19" s="4">
        <f t="shared" si="27"/>
        <v>1.6</v>
      </c>
      <c r="BD19" s="23" t="b">
        <f t="shared" si="16"/>
        <v>1</v>
      </c>
      <c r="BE19" s="5" t="s">
        <v>82</v>
      </c>
      <c r="BF19" s="5" t="s">
        <v>82</v>
      </c>
      <c r="BG19" s="5">
        <v>826</v>
      </c>
      <c r="BH19" s="3">
        <v>2821.74</v>
      </c>
      <c r="BI19" s="3">
        <f t="shared" si="15"/>
        <v>0.46641342228454397</v>
      </c>
      <c r="BJ19" s="3">
        <v>0</v>
      </c>
      <c r="BK19" s="3">
        <f t="shared" si="33"/>
        <v>0</v>
      </c>
      <c r="BL19" s="56">
        <f t="shared" si="17"/>
        <v>0.46641342228454397</v>
      </c>
      <c r="BM19" s="3" t="s">
        <v>162</v>
      </c>
      <c r="BN19" s="3">
        <v>4.9349999999999996</v>
      </c>
      <c r="BO19" s="3">
        <v>3016.3100586</v>
      </c>
      <c r="BP19" s="3">
        <f t="shared" si="18"/>
        <v>3016.3100586</v>
      </c>
      <c r="BQ19" s="57">
        <f t="shared" si="19"/>
        <v>0.24928723006069295</v>
      </c>
      <c r="BR19" s="3">
        <v>1575.01</v>
      </c>
      <c r="BS19" s="3">
        <v>1441.3</v>
      </c>
      <c r="BT19" s="3">
        <v>5.1743990000000002</v>
      </c>
      <c r="BU19" s="3">
        <v>4.6735790000000001</v>
      </c>
      <c r="BV19" s="3" t="s">
        <v>87</v>
      </c>
      <c r="BW19" s="23" t="s">
        <v>89</v>
      </c>
      <c r="BX19" s="3">
        <v>16.439600363306099</v>
      </c>
      <c r="BY19" s="170">
        <f t="shared" si="20"/>
        <v>16</v>
      </c>
      <c r="BZ19" s="170">
        <f t="shared" si="7"/>
        <v>1</v>
      </c>
      <c r="CA19" s="170">
        <f t="shared" si="8"/>
        <v>0</v>
      </c>
      <c r="CB19" s="170" t="str">
        <f t="shared" si="9"/>
        <v/>
      </c>
      <c r="CC19" s="170" t="str">
        <f t="shared" si="10"/>
        <v>16</v>
      </c>
      <c r="CD19" s="27"/>
      <c r="CE19" s="109" t="s">
        <v>16</v>
      </c>
      <c r="CF19" s="4">
        <v>57.4</v>
      </c>
      <c r="CG19" s="95">
        <v>147.03338943962001</v>
      </c>
      <c r="CH19" s="4">
        <f t="shared" si="1"/>
        <v>1.8440000000000001</v>
      </c>
      <c r="CI19" s="16">
        <v>3.2846115674992999E-3</v>
      </c>
      <c r="CJ19" s="7" t="str">
        <f t="shared" si="21"/>
        <v>BD (16)</v>
      </c>
      <c r="CK19" s="3" t="s">
        <v>129</v>
      </c>
      <c r="CL19" s="23">
        <v>3.7223167419433598</v>
      </c>
      <c r="CM19" s="4">
        <v>1.6</v>
      </c>
      <c r="CN19" s="148">
        <v>0.46641342228454397</v>
      </c>
      <c r="CO19" s="145" t="str">
        <f t="shared" si="22"/>
        <v>---</v>
      </c>
      <c r="CP19" s="87" t="str">
        <f t="shared" si="23"/>
        <v>Q100</v>
      </c>
      <c r="CQ19" s="109" t="s">
        <v>16</v>
      </c>
      <c r="CR19" s="5" t="s">
        <v>129</v>
      </c>
      <c r="CS19" s="137">
        <v>0</v>
      </c>
      <c r="CT19" s="95">
        <v>0</v>
      </c>
      <c r="CU19" s="95">
        <v>0</v>
      </c>
      <c r="CV19" s="95">
        <v>0</v>
      </c>
      <c r="CW19" s="95">
        <v>0</v>
      </c>
      <c r="CX19" s="96">
        <v>0</v>
      </c>
      <c r="CY19" s="137">
        <v>0.79938263578270063</v>
      </c>
      <c r="CZ19" s="95">
        <v>3.0534301714845387</v>
      </c>
      <c r="DA19" s="95">
        <v>9.8379747039159433</v>
      </c>
      <c r="DB19" s="95">
        <v>14.672460654610358</v>
      </c>
      <c r="DC19" s="95">
        <v>18.688685514843112</v>
      </c>
      <c r="DD19" s="96">
        <v>22.165613444251736</v>
      </c>
      <c r="DE19" s="205">
        <v>238.08659941981401</v>
      </c>
      <c r="DF19" s="3">
        <v>379.35102878012202</v>
      </c>
      <c r="DG19" s="3">
        <v>604.42613567579997</v>
      </c>
      <c r="DH19" s="3">
        <v>238.08659941981401</v>
      </c>
      <c r="DI19" s="3">
        <v>379.35102878012202</v>
      </c>
      <c r="DJ19" s="3">
        <v>604.42613567579997</v>
      </c>
      <c r="DK19" s="92" t="str">
        <f t="shared" si="34"/>
        <v>&gt;Q500</v>
      </c>
      <c r="DL19" s="95">
        <v>58.836539822529403</v>
      </c>
      <c r="DM19" s="95">
        <v>82.741706402216593</v>
      </c>
      <c r="DN19" s="95">
        <v>125.466688043638</v>
      </c>
      <c r="DO19" s="95">
        <v>146.950474865388</v>
      </c>
      <c r="DP19" s="95">
        <v>157.70328887276901</v>
      </c>
      <c r="DQ19" s="96">
        <v>201.947596553122</v>
      </c>
      <c r="DR19" t="b">
        <f t="shared" si="24"/>
        <v>1</v>
      </c>
      <c r="DS19" t="s">
        <v>16</v>
      </c>
      <c r="DT19">
        <v>147.03338943962001</v>
      </c>
      <c r="EO19" s="163" t="s">
        <v>16</v>
      </c>
      <c r="EP19" s="92" t="str">
        <f t="shared" si="25"/>
        <v>Q100</v>
      </c>
      <c r="EQ19" s="22" t="b">
        <f t="shared" si="2"/>
        <v>1</v>
      </c>
      <c r="ER19" s="4">
        <v>1.6</v>
      </c>
      <c r="ES19" s="23">
        <v>3.7223167419433598</v>
      </c>
      <c r="ET19" s="28" t="str">
        <f t="shared" si="28"/>
        <v>NE</v>
      </c>
      <c r="EU19" s="68" t="s">
        <v>16</v>
      </c>
      <c r="EV19" s="4">
        <v>1.8440000000000001</v>
      </c>
      <c r="EW19" s="16">
        <v>3.2846115674992999E-3</v>
      </c>
      <c r="EX19" s="5" t="s">
        <v>206</v>
      </c>
      <c r="EY19" t="s">
        <v>236</v>
      </c>
      <c r="EZ19" s="18" t="s">
        <v>208</v>
      </c>
      <c r="FA19" s="18" t="s">
        <v>86</v>
      </c>
      <c r="FB19" s="5" t="s">
        <v>3</v>
      </c>
      <c r="FC19" s="23" t="s">
        <v>89</v>
      </c>
      <c r="FD19" s="22"/>
      <c r="FE19" s="22"/>
      <c r="FF19" s="11"/>
      <c r="FG19" s="8">
        <v>1.0742977310808599</v>
      </c>
      <c r="FH19" s="9">
        <v>3.32842691454398</v>
      </c>
      <c r="FI19" s="9">
        <v>10.1129794818366</v>
      </c>
      <c r="FJ19" s="9">
        <v>14.947465432531001</v>
      </c>
      <c r="FK19" s="9">
        <v>18.963690292763701</v>
      </c>
      <c r="FL19" s="10">
        <v>22.4406182221724</v>
      </c>
      <c r="FM19" s="14"/>
      <c r="FN19" s="3">
        <v>1844</v>
      </c>
      <c r="FO19" s="5">
        <v>1000</v>
      </c>
      <c r="FP19" s="5" t="str">
        <f t="shared" si="3"/>
        <v>Q1000</v>
      </c>
      <c r="FQ19" s="5">
        <v>21681</v>
      </c>
      <c r="FR19" s="5">
        <v>21681</v>
      </c>
      <c r="FS19" s="5">
        <v>100</v>
      </c>
      <c r="FT19" s="5" t="str">
        <f t="shared" si="32"/>
        <v>Q100</v>
      </c>
      <c r="FU19" s="68" t="s">
        <v>16</v>
      </c>
      <c r="FV19" s="5"/>
      <c r="FW19" s="5" t="str">
        <f t="shared" si="4"/>
        <v>---</v>
      </c>
      <c r="FX19" s="5">
        <v>100</v>
      </c>
      <c r="FY19" s="5" t="str">
        <f t="shared" si="4"/>
        <v>Q100</v>
      </c>
      <c r="FZ19" s="5">
        <v>0.01</v>
      </c>
      <c r="GA19" s="4">
        <v>11.7575921908893</v>
      </c>
      <c r="GB19" s="5">
        <v>11.7575921908893</v>
      </c>
      <c r="GC19" s="4">
        <f t="shared" si="5"/>
        <v>11.7575921908893</v>
      </c>
      <c r="GE19" t="s">
        <v>16</v>
      </c>
      <c r="GF19">
        <v>58.836539822529403</v>
      </c>
      <c r="GG19">
        <v>82.741706402216593</v>
      </c>
      <c r="GH19">
        <v>125.466688043638</v>
      </c>
      <c r="GI19">
        <v>146.950474865388</v>
      </c>
      <c r="GJ19">
        <v>157.70328887276901</v>
      </c>
      <c r="GK19">
        <v>201.947596553122</v>
      </c>
      <c r="GL19" s="19"/>
      <c r="GM19" s="14"/>
      <c r="GN19" s="15">
        <v>3.2846115674992999E-3</v>
      </c>
      <c r="GO19">
        <v>238.08659941981401</v>
      </c>
      <c r="GP19">
        <v>379.35102878012202</v>
      </c>
      <c r="GQ19">
        <v>604.42613567579997</v>
      </c>
      <c r="GR19">
        <v>37.982949964783103</v>
      </c>
      <c r="GS19">
        <v>43.844639593118202</v>
      </c>
      <c r="GT19">
        <v>56.310780315720599</v>
      </c>
      <c r="GU19">
        <v>62.863239138432299</v>
      </c>
      <c r="GV19">
        <v>54.799117842503797</v>
      </c>
      <c r="GW19">
        <v>68.036677483834495</v>
      </c>
      <c r="GX19" s="14"/>
      <c r="GY19" s="14"/>
      <c r="HC19">
        <v>1</v>
      </c>
      <c r="HE19" t="str">
        <f t="shared" si="29"/>
        <v/>
      </c>
      <c r="HF19">
        <v>1</v>
      </c>
      <c r="HH19">
        <f t="shared" si="30"/>
        <v>1</v>
      </c>
      <c r="HI19">
        <f t="shared" si="31"/>
        <v>1</v>
      </c>
      <c r="HJ19" t="str">
        <f t="shared" si="6"/>
        <v/>
      </c>
    </row>
    <row r="20" spans="1:249" x14ac:dyDescent="0.3">
      <c r="A20" s="128" t="s">
        <v>85</v>
      </c>
      <c r="B20" s="3">
        <v>75.709999999999994</v>
      </c>
      <c r="C20" s="3"/>
      <c r="D20" s="3"/>
      <c r="E20" s="3"/>
      <c r="F20" s="3"/>
      <c r="G20" s="3"/>
      <c r="H20" s="3"/>
      <c r="I20" s="3"/>
      <c r="J20" s="3"/>
      <c r="K20" s="3"/>
      <c r="L20" s="3"/>
      <c r="M20" s="3">
        <v>0</v>
      </c>
      <c r="N20" s="3">
        <v>0</v>
      </c>
      <c r="O20" s="3">
        <v>0</v>
      </c>
      <c r="P20" s="3">
        <v>0</v>
      </c>
      <c r="Q20" s="3">
        <v>0</v>
      </c>
      <c r="R20" s="3">
        <v>0</v>
      </c>
      <c r="S20" s="3"/>
      <c r="T20" s="3">
        <v>15</v>
      </c>
      <c r="U20" s="3" t="s">
        <v>85</v>
      </c>
      <c r="V20" s="3" t="s">
        <v>164</v>
      </c>
      <c r="W20" s="3">
        <v>0</v>
      </c>
      <c r="X20" s="3">
        <f t="shared" si="11"/>
        <v>0</v>
      </c>
      <c r="Y20" s="3">
        <v>150.88999999999999</v>
      </c>
      <c r="Z20" s="3">
        <f t="shared" si="12"/>
        <v>6.4531582881423535E-2</v>
      </c>
      <c r="AA20" s="3">
        <f t="shared" si="0"/>
        <v>6.4531582881423535E-2</v>
      </c>
      <c r="AB20" s="3">
        <v>4.38</v>
      </c>
      <c r="AC20" s="3">
        <v>267.76</v>
      </c>
      <c r="AD20" s="3">
        <f t="shared" si="13"/>
        <v>0.1145137294209687</v>
      </c>
      <c r="AE20" s="3">
        <v>0</v>
      </c>
      <c r="AF20" s="3">
        <f t="shared" si="14"/>
        <v>0</v>
      </c>
      <c r="AG20" s="3">
        <v>2338</v>
      </c>
      <c r="AH20" s="3" t="s">
        <v>123</v>
      </c>
      <c r="AI20" s="3">
        <v>13</v>
      </c>
      <c r="AJ20" s="3">
        <v>1</v>
      </c>
      <c r="AK20" s="3">
        <v>250</v>
      </c>
      <c r="AL20" s="5">
        <v>8</v>
      </c>
      <c r="AM20" s="5" t="s">
        <v>98</v>
      </c>
      <c r="AN20" s="5" t="s">
        <v>86</v>
      </c>
      <c r="AO20" s="5">
        <v>5</v>
      </c>
      <c r="AP20" s="5">
        <v>0.5625</v>
      </c>
      <c r="AQ20" s="3" t="s">
        <v>80</v>
      </c>
      <c r="AR20" s="3" t="s">
        <v>125</v>
      </c>
      <c r="AS20" s="5" t="s">
        <v>5</v>
      </c>
      <c r="AT20" s="3" t="s">
        <v>120</v>
      </c>
      <c r="AU20" s="3" t="s">
        <v>81</v>
      </c>
      <c r="AV20" s="3"/>
      <c r="AW20" s="23" t="s">
        <v>80</v>
      </c>
      <c r="AX20" s="3" t="s">
        <v>130</v>
      </c>
      <c r="AY20" s="23">
        <v>1.126953125</v>
      </c>
      <c r="AZ20" s="23"/>
      <c r="BA20" s="59" t="str">
        <f t="shared" si="26"/>
        <v>HE</v>
      </c>
      <c r="BB20" s="23">
        <v>1</v>
      </c>
      <c r="BC20" s="4">
        <f t="shared" si="27"/>
        <v>1</v>
      </c>
      <c r="BD20" s="23" t="b">
        <f t="shared" si="16"/>
        <v>0</v>
      </c>
      <c r="BE20" s="5" t="s">
        <v>97</v>
      </c>
      <c r="BF20" s="5" t="s">
        <v>97</v>
      </c>
      <c r="BG20" s="5">
        <v>250</v>
      </c>
      <c r="BH20" s="3">
        <v>334.13</v>
      </c>
      <c r="BI20" s="3">
        <f t="shared" si="15"/>
        <v>0.14289838815143513</v>
      </c>
      <c r="BJ20" s="3">
        <v>0</v>
      </c>
      <c r="BK20" s="3">
        <f t="shared" si="33"/>
        <v>0</v>
      </c>
      <c r="BL20" s="56">
        <f t="shared" si="17"/>
        <v>0.14289838815143513</v>
      </c>
      <c r="BM20" s="3" t="s">
        <v>83</v>
      </c>
      <c r="BN20" s="3">
        <v>4.3239999999999998</v>
      </c>
      <c r="BO20" s="3">
        <v>969.89996340000005</v>
      </c>
      <c r="BP20" s="3">
        <f t="shared" si="18"/>
        <v>969.89996340000005</v>
      </c>
      <c r="BQ20" s="57">
        <f t="shared" si="19"/>
        <v>0.20740002609462777</v>
      </c>
      <c r="BR20" s="3">
        <v>500.56</v>
      </c>
      <c r="BS20" s="3">
        <v>469.34</v>
      </c>
      <c r="BT20" s="3">
        <v>5.9898509999999998</v>
      </c>
      <c r="BU20" s="3">
        <v>2.5466190000000002</v>
      </c>
      <c r="BV20" s="3" t="s">
        <v>94</v>
      </c>
      <c r="BW20" s="23" t="s">
        <v>80</v>
      </c>
      <c r="BX20" s="3">
        <v>3.3020737022850399</v>
      </c>
      <c r="BY20" s="170">
        <f t="shared" si="20"/>
        <v>3.3</v>
      </c>
      <c r="BZ20" s="170">
        <f t="shared" si="7"/>
        <v>0</v>
      </c>
      <c r="CA20" s="170">
        <f t="shared" si="8"/>
        <v>0.29999999999999982</v>
      </c>
      <c r="CB20" s="170" t="str">
        <f t="shared" si="9"/>
        <v/>
      </c>
      <c r="CC20" s="170" t="str">
        <f t="shared" si="10"/>
        <v>3.3</v>
      </c>
      <c r="CD20" s="27"/>
      <c r="CE20" s="109" t="s">
        <v>17</v>
      </c>
      <c r="CF20" s="4">
        <v>55.3</v>
      </c>
      <c r="CG20" s="95">
        <v>373.62690705444999</v>
      </c>
      <c r="CH20" s="4">
        <f t="shared" si="1"/>
        <v>0.71269399999999994</v>
      </c>
      <c r="CI20" s="16">
        <v>3.8802226158114001E-3</v>
      </c>
      <c r="CJ20" s="7" t="str">
        <f t="shared" si="21"/>
        <v>SC (3.3)</v>
      </c>
      <c r="CK20" s="3" t="s">
        <v>129</v>
      </c>
      <c r="CL20" s="23">
        <v>1.126953125</v>
      </c>
      <c r="CM20" s="4">
        <v>1</v>
      </c>
      <c r="CN20" s="148">
        <v>0.14289838815143513</v>
      </c>
      <c r="CO20" s="145" t="str">
        <f t="shared" si="22"/>
        <v>Q500</v>
      </c>
      <c r="CP20" s="87" t="str">
        <f t="shared" si="23"/>
        <v>---</v>
      </c>
      <c r="CQ20" s="109" t="s">
        <v>17</v>
      </c>
      <c r="CR20" s="5" t="s">
        <v>129</v>
      </c>
      <c r="CS20" s="137">
        <v>0</v>
      </c>
      <c r="CT20" s="95">
        <v>0</v>
      </c>
      <c r="CU20" s="95">
        <v>0</v>
      </c>
      <c r="CV20" s="95">
        <v>0</v>
      </c>
      <c r="CW20" s="95">
        <v>0</v>
      </c>
      <c r="CX20" s="96">
        <v>30.5460688598472</v>
      </c>
      <c r="CY20" s="137">
        <v>0.10281339587038098</v>
      </c>
      <c r="CZ20" s="95">
        <v>0.11252836134984595</v>
      </c>
      <c r="DA20" s="95">
        <v>0.20252953013464828</v>
      </c>
      <c r="DB20" s="95">
        <v>0.2639032157493707</v>
      </c>
      <c r="DC20" s="95">
        <v>0.2923535923173845</v>
      </c>
      <c r="DD20" s="96">
        <v>0.58913331778379785</v>
      </c>
      <c r="DE20" s="205">
        <v>360.32125948299301</v>
      </c>
      <c r="DF20" s="3">
        <v>877.62576918693105</v>
      </c>
      <c r="DG20" s="3">
        <v>1895.48085674974</v>
      </c>
      <c r="DH20" s="3">
        <v>360.32125948299301</v>
      </c>
      <c r="DI20" s="3">
        <v>877.62576918693105</v>
      </c>
      <c r="DJ20" s="3">
        <v>1895.48085674974</v>
      </c>
      <c r="DK20" s="92" t="str">
        <f t="shared" si="34"/>
        <v>Q500</v>
      </c>
      <c r="DL20" s="95">
        <v>106.016581491235</v>
      </c>
      <c r="DM20" s="95">
        <v>151.04189395624601</v>
      </c>
      <c r="DN20" s="95">
        <v>243.175452030646</v>
      </c>
      <c r="DO20" s="95">
        <v>290.08587636315201</v>
      </c>
      <c r="DP20" s="95">
        <v>326.72061271784798</v>
      </c>
      <c r="DQ20" s="96">
        <v>447.98308296017802</v>
      </c>
      <c r="DR20" t="b">
        <f t="shared" si="24"/>
        <v>1</v>
      </c>
      <c r="DS20" t="s">
        <v>17</v>
      </c>
      <c r="DT20">
        <v>373.62690705444999</v>
      </c>
      <c r="EO20" s="163" t="s">
        <v>17</v>
      </c>
      <c r="EP20" s="92" t="str">
        <f t="shared" si="25"/>
        <v>Q500</v>
      </c>
      <c r="EQ20" s="22" t="b">
        <f t="shared" si="2"/>
        <v>1</v>
      </c>
      <c r="ER20" s="4">
        <v>1</v>
      </c>
      <c r="ES20" s="23">
        <v>1.126953125</v>
      </c>
      <c r="ET20" s="59" t="str">
        <f t="shared" si="28"/>
        <v>HE</v>
      </c>
      <c r="EU20" s="68" t="s">
        <v>17</v>
      </c>
      <c r="EV20" s="4">
        <v>0.71269399999999994</v>
      </c>
      <c r="EW20" s="16">
        <v>3.8802226158114001E-3</v>
      </c>
      <c r="EX20" s="5" t="s">
        <v>35</v>
      </c>
      <c r="EY20" t="s">
        <v>35</v>
      </c>
      <c r="EZ20" s="18" t="s">
        <v>208</v>
      </c>
      <c r="FA20" s="18" t="s">
        <v>208</v>
      </c>
      <c r="FB20" s="5" t="s">
        <v>5</v>
      </c>
      <c r="FC20" s="59" t="s">
        <v>80</v>
      </c>
      <c r="FD20" s="22"/>
      <c r="FE20" s="22"/>
      <c r="FF20" s="11"/>
      <c r="FG20" s="8">
        <v>0.23855802791898001</v>
      </c>
      <c r="FH20" s="9">
        <v>0.248272993398435</v>
      </c>
      <c r="FI20" s="9">
        <v>0.33827416218322498</v>
      </c>
      <c r="FJ20" s="9">
        <v>0.39964784779798301</v>
      </c>
      <c r="FK20" s="9">
        <v>0.42809822436585099</v>
      </c>
      <c r="FL20" s="10">
        <v>0.72487794983246601</v>
      </c>
      <c r="FM20" s="14"/>
      <c r="FN20" s="3">
        <v>712.69399999999996</v>
      </c>
      <c r="FO20" s="5">
        <v>500</v>
      </c>
      <c r="FP20" s="5" t="str">
        <f t="shared" si="3"/>
        <v>Q500</v>
      </c>
      <c r="FQ20" s="5">
        <v>25963</v>
      </c>
      <c r="FR20" s="5">
        <v>25963</v>
      </c>
      <c r="FS20" s="5">
        <v>500</v>
      </c>
      <c r="FT20" s="5" t="str">
        <f t="shared" si="32"/>
        <v>Q500</v>
      </c>
      <c r="FU20" s="68" t="s">
        <v>17</v>
      </c>
      <c r="FV20" s="5">
        <v>500</v>
      </c>
      <c r="FW20" s="5" t="str">
        <f t="shared" si="4"/>
        <v>Q500</v>
      </c>
      <c r="FX20" s="5"/>
      <c r="FY20" s="5" t="str">
        <f t="shared" si="4"/>
        <v>---</v>
      </c>
      <c r="FZ20" s="5">
        <v>2E-3</v>
      </c>
      <c r="GA20" s="4">
        <v>36.429379228673099</v>
      </c>
      <c r="GB20" s="5">
        <v>36.429379228673099</v>
      </c>
      <c r="GC20" s="4">
        <f t="shared" si="5"/>
        <v>36.429379228673099</v>
      </c>
      <c r="GE20" t="s">
        <v>17</v>
      </c>
      <c r="GF20">
        <v>106.016581491235</v>
      </c>
      <c r="GG20">
        <v>151.04189395624601</v>
      </c>
      <c r="GH20">
        <v>243.175452030646</v>
      </c>
      <c r="GI20">
        <v>290.08587636315201</v>
      </c>
      <c r="GJ20">
        <v>326.72061271784798</v>
      </c>
      <c r="GK20">
        <v>447.98308296017802</v>
      </c>
      <c r="GL20" s="19"/>
      <c r="GM20" s="14"/>
      <c r="GN20" s="15">
        <v>3.8802226158114001E-3</v>
      </c>
      <c r="GO20">
        <v>360.32125948299301</v>
      </c>
      <c r="GP20">
        <v>877.62576918693105</v>
      </c>
      <c r="GQ20">
        <v>1895.48085674974</v>
      </c>
      <c r="GR20">
        <v>72.803075661931302</v>
      </c>
      <c r="GS20">
        <v>96.850807684733695</v>
      </c>
      <c r="GT20">
        <v>140.22217350001301</v>
      </c>
      <c r="GU20">
        <v>162.75986935268901</v>
      </c>
      <c r="GV20">
        <v>179.472347171336</v>
      </c>
      <c r="GW20">
        <v>188.92808294133999</v>
      </c>
      <c r="GX20" s="14"/>
      <c r="GY20" s="14"/>
      <c r="HE20" t="str">
        <f t="shared" si="29"/>
        <v/>
      </c>
      <c r="HH20">
        <f t="shared" si="30"/>
        <v>0</v>
      </c>
      <c r="HI20" t="str">
        <f t="shared" si="31"/>
        <v/>
      </c>
      <c r="HJ20" t="str">
        <f t="shared" si="6"/>
        <v>Entrenched</v>
      </c>
    </row>
    <row r="21" spans="1:249" x14ac:dyDescent="0.3">
      <c r="A21" s="128" t="s">
        <v>85</v>
      </c>
      <c r="B21" s="3">
        <v>75.260000000000005</v>
      </c>
      <c r="C21" s="3"/>
      <c r="D21" s="3"/>
      <c r="E21" s="3"/>
      <c r="F21" s="3"/>
      <c r="G21" s="3"/>
      <c r="H21" s="3"/>
      <c r="I21" s="3"/>
      <c r="J21" s="3"/>
      <c r="K21" s="3"/>
      <c r="L21" s="3"/>
      <c r="M21" s="3">
        <v>0</v>
      </c>
      <c r="N21" s="3">
        <v>0</v>
      </c>
      <c r="O21" s="3">
        <v>0</v>
      </c>
      <c r="P21" s="3">
        <v>0</v>
      </c>
      <c r="Q21" s="3">
        <v>0</v>
      </c>
      <c r="R21" s="3">
        <v>0</v>
      </c>
      <c r="S21" s="3"/>
      <c r="T21" s="3">
        <v>11</v>
      </c>
      <c r="U21" s="3" t="s">
        <v>128</v>
      </c>
      <c r="V21" s="3" t="s">
        <v>128</v>
      </c>
      <c r="W21" s="3">
        <v>612.38</v>
      </c>
      <c r="X21" s="3">
        <f t="shared" si="11"/>
        <v>7.0964677505878482E-2</v>
      </c>
      <c r="Y21" s="3">
        <v>855.32</v>
      </c>
      <c r="Z21" s="3">
        <f t="shared" si="12"/>
        <v>9.9117391104098743E-2</v>
      </c>
      <c r="AA21" s="3">
        <f t="shared" si="0"/>
        <v>0.17008206860997721</v>
      </c>
      <c r="AB21" s="3">
        <v>7.41</v>
      </c>
      <c r="AC21" s="3">
        <v>1136.17</v>
      </c>
      <c r="AD21" s="3">
        <f t="shared" si="13"/>
        <v>0.13166324445908417</v>
      </c>
      <c r="AE21" s="3">
        <v>0</v>
      </c>
      <c r="AF21" s="3">
        <f t="shared" si="14"/>
        <v>0</v>
      </c>
      <c r="AG21" s="3">
        <v>8584</v>
      </c>
      <c r="AH21" s="3" t="s">
        <v>123</v>
      </c>
      <c r="AI21" s="3">
        <v>8</v>
      </c>
      <c r="AJ21" s="3">
        <v>1.15561807155609</v>
      </c>
      <c r="AK21" s="3">
        <v>974</v>
      </c>
      <c r="AL21" s="5">
        <v>23</v>
      </c>
      <c r="AM21" s="5" t="s">
        <v>85</v>
      </c>
      <c r="AN21" s="5" t="s">
        <v>81</v>
      </c>
      <c r="AO21" s="5">
        <v>11</v>
      </c>
      <c r="AP21" s="5">
        <v>0.63749999999999996</v>
      </c>
      <c r="AQ21" s="3" t="s">
        <v>96</v>
      </c>
      <c r="AR21" s="3" t="s">
        <v>85</v>
      </c>
      <c r="AS21" s="5" t="s">
        <v>1</v>
      </c>
      <c r="AT21" s="3" t="s">
        <v>120</v>
      </c>
      <c r="AU21" s="3" t="s">
        <v>81</v>
      </c>
      <c r="AV21" s="3"/>
      <c r="AW21" s="23" t="s">
        <v>89</v>
      </c>
      <c r="AX21" s="3" t="s">
        <v>129</v>
      </c>
      <c r="AY21" s="23">
        <v>5.3740777969360396</v>
      </c>
      <c r="AZ21" s="23"/>
      <c r="BA21" s="28" t="str">
        <f t="shared" si="26"/>
        <v>NE</v>
      </c>
      <c r="BB21" s="23">
        <v>1.3722221851348899</v>
      </c>
      <c r="BC21" s="4">
        <f t="shared" si="27"/>
        <v>1.4</v>
      </c>
      <c r="BD21" s="23" t="b">
        <f t="shared" si="16"/>
        <v>1</v>
      </c>
      <c r="BE21" s="5" t="s">
        <v>90</v>
      </c>
      <c r="BF21" s="5" t="s">
        <v>82</v>
      </c>
      <c r="BG21" s="5">
        <v>900</v>
      </c>
      <c r="BH21" s="3">
        <v>4118.53</v>
      </c>
      <c r="BI21" s="3">
        <f t="shared" si="15"/>
        <v>0.47726926622078725</v>
      </c>
      <c r="BJ21" s="3">
        <v>586.15</v>
      </c>
      <c r="BK21" s="3">
        <f t="shared" si="33"/>
        <v>6.7925055880451154E-2</v>
      </c>
      <c r="BL21" s="56">
        <f t="shared" si="17"/>
        <v>0.54519432210123842</v>
      </c>
      <c r="BM21" s="3" t="s">
        <v>162</v>
      </c>
      <c r="BN21" s="3">
        <v>5.423</v>
      </c>
      <c r="BO21" s="3">
        <v>3630.4699707</v>
      </c>
      <c r="BP21" s="3">
        <f t="shared" si="18"/>
        <v>3630.4699707</v>
      </c>
      <c r="BQ21" s="57">
        <f t="shared" si="19"/>
        <v>0.21035560490667693</v>
      </c>
      <c r="BR21" s="3">
        <v>1125.0999999999999</v>
      </c>
      <c r="BS21" s="3">
        <v>2505.37</v>
      </c>
      <c r="BT21" s="3">
        <v>4.3745000000000003</v>
      </c>
      <c r="BU21" s="3">
        <v>5.8933289999999996</v>
      </c>
      <c r="BV21" s="3" t="s">
        <v>94</v>
      </c>
      <c r="BW21" s="23" t="s">
        <v>89</v>
      </c>
      <c r="BX21" s="3">
        <v>12.9418017539197</v>
      </c>
      <c r="BY21" s="170">
        <f t="shared" si="20"/>
        <v>13</v>
      </c>
      <c r="BZ21" s="170">
        <f t="shared" si="7"/>
        <v>1</v>
      </c>
      <c r="CA21" s="170">
        <f t="shared" si="8"/>
        <v>0</v>
      </c>
      <c r="CB21" s="170" t="str">
        <f t="shared" si="9"/>
        <v/>
      </c>
      <c r="CC21" s="170" t="str">
        <f t="shared" si="10"/>
        <v>13</v>
      </c>
      <c r="CD21" s="27"/>
      <c r="CE21" s="109" t="s">
        <v>18</v>
      </c>
      <c r="CF21" s="4">
        <v>54.5</v>
      </c>
      <c r="CG21" s="95">
        <v>237.986650882151</v>
      </c>
      <c r="CH21" s="4">
        <f t="shared" si="1"/>
        <v>2.6302300000000001</v>
      </c>
      <c r="CI21" s="16">
        <v>5.1159406074247999E-3</v>
      </c>
      <c r="CJ21" s="7" t="str">
        <f t="shared" si="21"/>
        <v>BD (13)</v>
      </c>
      <c r="CK21" s="3" t="s">
        <v>129</v>
      </c>
      <c r="CL21" s="23">
        <v>5.3740777969360396</v>
      </c>
      <c r="CM21" s="4">
        <v>1.4</v>
      </c>
      <c r="CN21" s="148">
        <v>0.54519432210123842</v>
      </c>
      <c r="CO21" s="145" t="str">
        <f t="shared" si="22"/>
        <v>---</v>
      </c>
      <c r="CP21" s="87" t="str">
        <f t="shared" si="23"/>
        <v>Q25</v>
      </c>
      <c r="CQ21" s="109" t="s">
        <v>18</v>
      </c>
      <c r="CR21" s="5" t="s">
        <v>129</v>
      </c>
      <c r="CS21" s="137">
        <v>0</v>
      </c>
      <c r="CT21" s="95">
        <v>0</v>
      </c>
      <c r="CU21" s="95">
        <v>0</v>
      </c>
      <c r="CV21" s="95">
        <v>0</v>
      </c>
      <c r="CW21" s="95">
        <v>0</v>
      </c>
      <c r="CX21" s="96">
        <v>0</v>
      </c>
      <c r="CY21" s="137">
        <v>0.32401585477921208</v>
      </c>
      <c r="CZ21" s="95">
        <v>4.2428915267088811</v>
      </c>
      <c r="DA21" s="95">
        <v>9.2522812832042831</v>
      </c>
      <c r="DB21" s="95">
        <v>9.4119052936629117</v>
      </c>
      <c r="DC21" s="95">
        <v>9.4970767482474159</v>
      </c>
      <c r="DD21" s="96">
        <v>9.6733621782982482</v>
      </c>
      <c r="DE21" s="205">
        <v>420.09324898966798</v>
      </c>
      <c r="DF21" s="3">
        <v>741.36331287751</v>
      </c>
      <c r="DG21" s="3">
        <v>1478.4633083460201</v>
      </c>
      <c r="DH21" s="3">
        <v>420.09324898966798</v>
      </c>
      <c r="DI21" s="3">
        <v>741.36331287751</v>
      </c>
      <c r="DJ21" s="3">
        <v>1478.4633083460201</v>
      </c>
      <c r="DK21" s="92" t="str">
        <f t="shared" si="34"/>
        <v>&gt;Q500</v>
      </c>
      <c r="DL21" s="95">
        <v>122.358003507837</v>
      </c>
      <c r="DM21" s="95">
        <v>181.29759240578599</v>
      </c>
      <c r="DN21" s="95">
        <v>248.24423766650801</v>
      </c>
      <c r="DO21" s="95">
        <v>274.155806193378</v>
      </c>
      <c r="DP21" s="95">
        <v>316.33571836035998</v>
      </c>
      <c r="DQ21" s="96">
        <v>381.563865284104</v>
      </c>
      <c r="DR21" t="b">
        <f t="shared" si="24"/>
        <v>1</v>
      </c>
      <c r="DS21" t="s">
        <v>18</v>
      </c>
      <c r="DT21">
        <v>237.986650882151</v>
      </c>
      <c r="EO21" s="163" t="s">
        <v>18</v>
      </c>
      <c r="EP21" s="92" t="str">
        <f t="shared" si="25"/>
        <v>Q25</v>
      </c>
      <c r="EQ21" s="22" t="b">
        <f t="shared" si="2"/>
        <v>1</v>
      </c>
      <c r="ER21" s="4">
        <v>1.4</v>
      </c>
      <c r="ES21" s="23">
        <v>5.3740777969360396</v>
      </c>
      <c r="ET21" s="28" t="str">
        <f t="shared" si="28"/>
        <v>NE</v>
      </c>
      <c r="EU21" s="68" t="s">
        <v>18</v>
      </c>
      <c r="EV21" s="4">
        <v>2.6302300000000001</v>
      </c>
      <c r="EW21" s="16">
        <v>5.1159406074247999E-3</v>
      </c>
      <c r="EX21" s="5" t="s">
        <v>206</v>
      </c>
      <c r="EY21" t="s">
        <v>32</v>
      </c>
      <c r="EZ21" s="18" t="s">
        <v>208</v>
      </c>
      <c r="FA21" s="18" t="s">
        <v>86</v>
      </c>
      <c r="FB21" s="5" t="s">
        <v>1</v>
      </c>
      <c r="FC21" s="23" t="s">
        <v>89</v>
      </c>
      <c r="FD21" s="22"/>
      <c r="FE21" s="22"/>
      <c r="FF21" s="11"/>
      <c r="FG21" s="8">
        <v>0.68589575783303702</v>
      </c>
      <c r="FH21" s="9">
        <v>4.6047714297627103</v>
      </c>
      <c r="FI21" s="9">
        <v>9.6141611862579595</v>
      </c>
      <c r="FJ21" s="9">
        <v>9.7737851967167497</v>
      </c>
      <c r="FK21" s="9">
        <v>9.8589566513012006</v>
      </c>
      <c r="FL21" s="10">
        <v>10.035242081351999</v>
      </c>
      <c r="FM21" s="14"/>
      <c r="FN21" s="3">
        <v>2630.23</v>
      </c>
      <c r="FO21" s="5">
        <v>1000</v>
      </c>
      <c r="FP21" s="5" t="str">
        <f t="shared" si="3"/>
        <v>Q1000</v>
      </c>
      <c r="FQ21" s="5">
        <v>8045</v>
      </c>
      <c r="FR21" s="5">
        <v>8045</v>
      </c>
      <c r="FS21" s="5">
        <v>25</v>
      </c>
      <c r="FT21" s="5" t="str">
        <f t="shared" si="32"/>
        <v>Q25</v>
      </c>
      <c r="FU21" s="68" t="s">
        <v>18</v>
      </c>
      <c r="FV21" s="5"/>
      <c r="FW21" s="5" t="str">
        <f t="shared" si="4"/>
        <v>---</v>
      </c>
      <c r="FX21" s="5">
        <v>25</v>
      </c>
      <c r="FY21" s="5" t="str">
        <f t="shared" si="4"/>
        <v>Q25</v>
      </c>
      <c r="FZ21" s="5">
        <v>0.04</v>
      </c>
      <c r="GA21" s="4">
        <v>3.0586678731517698</v>
      </c>
      <c r="GB21" s="5">
        <v>3.0586678731517698</v>
      </c>
      <c r="GC21" s="4">
        <f t="shared" si="5"/>
        <v>3.0586678731517698</v>
      </c>
      <c r="GE21" t="s">
        <v>18</v>
      </c>
      <c r="GF21">
        <v>122.358003507837</v>
      </c>
      <c r="GG21">
        <v>181.29759240578599</v>
      </c>
      <c r="GH21">
        <v>248.24423766650801</v>
      </c>
      <c r="GI21">
        <v>274.155806193378</v>
      </c>
      <c r="GJ21">
        <v>316.33571836035998</v>
      </c>
      <c r="GK21">
        <v>381.563865284104</v>
      </c>
      <c r="GL21" s="19"/>
      <c r="GM21" s="14"/>
      <c r="GN21" s="15">
        <v>5.1159406074247999E-3</v>
      </c>
      <c r="GO21">
        <v>420.09324898966798</v>
      </c>
      <c r="GP21">
        <v>741.36331287751</v>
      </c>
      <c r="GQ21">
        <v>1478.4633083460201</v>
      </c>
      <c r="GR21">
        <v>83.414529796433897</v>
      </c>
      <c r="GS21">
        <v>96.2086429888341</v>
      </c>
      <c r="GT21">
        <v>88.125409238836497</v>
      </c>
      <c r="GU21">
        <v>92.445148248270797</v>
      </c>
      <c r="GV21">
        <v>100.505626244686</v>
      </c>
      <c r="GW21">
        <v>116.651264913296</v>
      </c>
      <c r="GX21" s="14"/>
      <c r="GY21" s="14"/>
      <c r="HC21">
        <v>1</v>
      </c>
      <c r="HE21" t="str">
        <f t="shared" si="29"/>
        <v/>
      </c>
      <c r="HF21">
        <v>1</v>
      </c>
      <c r="HH21">
        <f t="shared" si="30"/>
        <v>1</v>
      </c>
      <c r="HI21">
        <f t="shared" si="31"/>
        <v>1</v>
      </c>
      <c r="HJ21" t="str">
        <f t="shared" si="6"/>
        <v/>
      </c>
    </row>
    <row r="22" spans="1:249" x14ac:dyDescent="0.3">
      <c r="A22" s="128" t="s">
        <v>85</v>
      </c>
      <c r="B22" s="3">
        <v>68.73</v>
      </c>
      <c r="C22" s="3"/>
      <c r="D22" s="3"/>
      <c r="E22" s="3"/>
      <c r="F22" s="3"/>
      <c r="G22" s="3"/>
      <c r="H22" s="3"/>
      <c r="I22" s="3"/>
      <c r="J22" s="3"/>
      <c r="K22" s="3"/>
      <c r="L22" s="3"/>
      <c r="M22" s="3">
        <v>0</v>
      </c>
      <c r="N22" s="3">
        <v>0</v>
      </c>
      <c r="O22" s="3">
        <v>0</v>
      </c>
      <c r="P22" s="3">
        <v>0</v>
      </c>
      <c r="Q22" s="3">
        <v>0</v>
      </c>
      <c r="R22" s="3">
        <v>0</v>
      </c>
      <c r="S22" s="3"/>
      <c r="T22" s="3">
        <v>9</v>
      </c>
      <c r="U22" s="3" t="s">
        <v>128</v>
      </c>
      <c r="V22" s="3" t="s">
        <v>85</v>
      </c>
      <c r="W22" s="3">
        <v>1279.04</v>
      </c>
      <c r="X22" s="3">
        <f t="shared" si="11"/>
        <v>0.15826194273906699</v>
      </c>
      <c r="Y22" s="3">
        <v>0</v>
      </c>
      <c r="Z22" s="3">
        <f t="shared" si="12"/>
        <v>0</v>
      </c>
      <c r="AA22" s="3">
        <f t="shared" si="0"/>
        <v>0.15826194273906699</v>
      </c>
      <c r="AB22" s="3">
        <v>8.3000000000000007</v>
      </c>
      <c r="AC22" s="3">
        <v>1527.02</v>
      </c>
      <c r="AD22" s="3">
        <f t="shared" si="13"/>
        <v>0.1889457341454607</v>
      </c>
      <c r="AE22" s="3">
        <v>0</v>
      </c>
      <c r="AF22" s="3">
        <f t="shared" si="14"/>
        <v>0</v>
      </c>
      <c r="AG22" s="3">
        <v>9344</v>
      </c>
      <c r="AH22" s="3" t="s">
        <v>123</v>
      </c>
      <c r="AI22" s="3">
        <v>8</v>
      </c>
      <c r="AJ22" s="3">
        <v>1.1699011325836199</v>
      </c>
      <c r="AK22" s="3">
        <v>485</v>
      </c>
      <c r="AL22" s="5">
        <v>16</v>
      </c>
      <c r="AM22" s="5" t="s">
        <v>95</v>
      </c>
      <c r="AN22" s="5" t="s">
        <v>86</v>
      </c>
      <c r="AO22" s="5">
        <v>5</v>
      </c>
      <c r="AP22" s="5">
        <v>0.48749999999999999</v>
      </c>
      <c r="AQ22" s="3" t="s">
        <v>89</v>
      </c>
      <c r="AR22" s="3" t="s">
        <v>85</v>
      </c>
      <c r="AS22" s="5" t="s">
        <v>1</v>
      </c>
      <c r="AT22" s="3" t="s">
        <v>126</v>
      </c>
      <c r="AU22" s="3" t="s">
        <v>81</v>
      </c>
      <c r="AV22" s="3"/>
      <c r="AW22" s="23" t="s">
        <v>89</v>
      </c>
      <c r="AX22" s="3" t="s">
        <v>129</v>
      </c>
      <c r="AY22" s="23">
        <v>1.24435579776764</v>
      </c>
      <c r="AZ22" s="23"/>
      <c r="BA22" s="59" t="str">
        <f t="shared" si="26"/>
        <v>HE</v>
      </c>
      <c r="BB22" s="23">
        <v>2.0544555187225302</v>
      </c>
      <c r="BC22" s="4">
        <f t="shared" si="27"/>
        <v>2.1</v>
      </c>
      <c r="BD22" s="23" t="b">
        <f t="shared" si="16"/>
        <v>1</v>
      </c>
      <c r="BE22" s="5" t="s">
        <v>82</v>
      </c>
      <c r="BF22" s="5" t="s">
        <v>82</v>
      </c>
      <c r="BG22" s="5">
        <v>466.8</v>
      </c>
      <c r="BH22" s="3">
        <v>6605.09</v>
      </c>
      <c r="BI22" s="3">
        <f t="shared" si="15"/>
        <v>0.81728044108580189</v>
      </c>
      <c r="BJ22" s="3">
        <v>706.79</v>
      </c>
      <c r="BK22" s="3">
        <f t="shared" si="33"/>
        <v>8.7454621050588849E-2</v>
      </c>
      <c r="BL22" s="56">
        <f t="shared" si="17"/>
        <v>0.90473506213639077</v>
      </c>
      <c r="BM22" s="3" t="s">
        <v>83</v>
      </c>
      <c r="BN22" s="3">
        <v>4.7210000000000001</v>
      </c>
      <c r="BO22" s="3">
        <v>2617.2600097999998</v>
      </c>
      <c r="BP22" s="3">
        <f t="shared" si="18"/>
        <v>2617.2600097999998</v>
      </c>
      <c r="BQ22" s="57">
        <f t="shared" si="19"/>
        <v>0.1619232603375256</v>
      </c>
      <c r="BR22" s="3">
        <v>1251.0899999999999</v>
      </c>
      <c r="BS22" s="3">
        <v>1366.17</v>
      </c>
      <c r="BT22" s="3">
        <v>4.4029999999999996</v>
      </c>
      <c r="BU22" s="3">
        <v>5.0130730000000003</v>
      </c>
      <c r="BV22" s="3" t="s">
        <v>87</v>
      </c>
      <c r="BW22" s="23" t="s">
        <v>89</v>
      </c>
      <c r="BX22" s="3">
        <v>7.0565982831369096</v>
      </c>
      <c r="BY22" s="170">
        <f t="shared" si="20"/>
        <v>7.1</v>
      </c>
      <c r="BZ22" s="170">
        <f t="shared" si="7"/>
        <v>0</v>
      </c>
      <c r="CA22" s="170">
        <f t="shared" si="8"/>
        <v>9.9999999999999645E-2</v>
      </c>
      <c r="CB22" s="170" t="str">
        <f t="shared" si="9"/>
        <v/>
      </c>
      <c r="CC22" s="170" t="str">
        <f t="shared" si="10"/>
        <v>7.1</v>
      </c>
      <c r="CD22" s="27"/>
      <c r="CE22" s="109" t="s">
        <v>9</v>
      </c>
      <c r="CF22" s="4">
        <v>45.6</v>
      </c>
      <c r="CG22" s="95">
        <v>277.75076189277098</v>
      </c>
      <c r="CH22" s="4">
        <f t="shared" si="1"/>
        <v>2.46333</v>
      </c>
      <c r="CI22" s="16">
        <v>5.4570025417987004E-3</v>
      </c>
      <c r="CJ22" s="7" t="str">
        <f t="shared" si="21"/>
        <v>BD (7.1)</v>
      </c>
      <c r="CK22" s="3" t="s">
        <v>129</v>
      </c>
      <c r="CL22" s="23">
        <v>1.24435579776764</v>
      </c>
      <c r="CM22" s="4">
        <v>2.1</v>
      </c>
      <c r="CN22" s="149">
        <v>0.90473506213639077</v>
      </c>
      <c r="CO22" s="145" t="str">
        <f t="shared" si="22"/>
        <v>Q25</v>
      </c>
      <c r="CP22" s="87" t="str">
        <f t="shared" si="23"/>
        <v>---</v>
      </c>
      <c r="CQ22" s="109" t="s">
        <v>9</v>
      </c>
      <c r="CR22" s="5" t="s">
        <v>129</v>
      </c>
      <c r="CS22" s="137">
        <v>0</v>
      </c>
      <c r="CT22" s="95">
        <v>0</v>
      </c>
      <c r="CU22" s="95">
        <v>18.164435946462699</v>
      </c>
      <c r="CV22" s="95">
        <v>29.786102552236201</v>
      </c>
      <c r="CW22" s="95">
        <v>29.786102552236201</v>
      </c>
      <c r="CX22" s="96">
        <v>29.786102552236201</v>
      </c>
      <c r="CY22" s="137">
        <v>6.1182573041770695E-2</v>
      </c>
      <c r="CZ22" s="95">
        <v>8.6023137948958536E-2</v>
      </c>
      <c r="DA22" s="95">
        <v>0.3118656359981245</v>
      </c>
      <c r="DB22" s="95">
        <v>0.53453025894293904</v>
      </c>
      <c r="DC22" s="95">
        <v>0.88571272836939419</v>
      </c>
      <c r="DD22" s="96">
        <v>2.2093094716115784</v>
      </c>
      <c r="DE22" s="205">
        <v>417.93043933819598</v>
      </c>
      <c r="DF22" s="3">
        <v>842.07954741109904</v>
      </c>
      <c r="DG22" s="3">
        <v>1706.69814944722</v>
      </c>
      <c r="DH22" s="3">
        <v>417.93043933819598</v>
      </c>
      <c r="DI22" s="3">
        <v>842.07954741109904</v>
      </c>
      <c r="DJ22" s="3">
        <v>1706.69814944722</v>
      </c>
      <c r="DK22" s="92" t="str">
        <f t="shared" si="34"/>
        <v>Q500</v>
      </c>
      <c r="DL22" s="95">
        <v>111.77243460577201</v>
      </c>
      <c r="DM22" s="95">
        <v>173.25797331627999</v>
      </c>
      <c r="DN22" s="95">
        <v>276.11438837474401</v>
      </c>
      <c r="DO22" s="95">
        <v>314.019141696227</v>
      </c>
      <c r="DP22" s="95">
        <v>359.35511785909</v>
      </c>
      <c r="DQ22" s="96">
        <v>464.27733391985601</v>
      </c>
      <c r="DR22" t="b">
        <f t="shared" si="24"/>
        <v>1</v>
      </c>
      <c r="DS22" t="s">
        <v>9</v>
      </c>
      <c r="DT22">
        <v>277.75076189277098</v>
      </c>
      <c r="DU22" s="86"/>
      <c r="DV22" s="86"/>
      <c r="DW22" s="86"/>
      <c r="DX22" s="86"/>
      <c r="DY22" s="86"/>
      <c r="DZ22" s="86"/>
      <c r="EA22" s="86"/>
      <c r="EB22" s="86"/>
      <c r="EC22" s="86"/>
      <c r="ED22" s="86"/>
      <c r="EE22" s="86"/>
      <c r="EF22" s="86"/>
      <c r="EG22" s="86"/>
      <c r="EH22" s="86"/>
      <c r="EI22" s="86"/>
      <c r="EJ22" s="86"/>
      <c r="EK22" s="86"/>
      <c r="EL22" s="86"/>
      <c r="EM22" s="86"/>
      <c r="EN22" s="86"/>
      <c r="EO22" s="163" t="s">
        <v>9</v>
      </c>
      <c r="EP22" s="92" t="str">
        <f t="shared" si="25"/>
        <v>Q25</v>
      </c>
      <c r="EQ22" s="22" t="b">
        <f t="shared" si="2"/>
        <v>1</v>
      </c>
      <c r="ER22" s="79">
        <v>2.1</v>
      </c>
      <c r="ES22" s="23">
        <v>1.24435579776764</v>
      </c>
      <c r="ET22" s="59" t="str">
        <f t="shared" si="28"/>
        <v>HE</v>
      </c>
      <c r="EU22" s="68" t="s">
        <v>9</v>
      </c>
      <c r="EV22" s="4">
        <v>2.46333</v>
      </c>
      <c r="EW22" s="16">
        <v>5.4570025417987004E-3</v>
      </c>
      <c r="EX22" s="5" t="s">
        <v>35</v>
      </c>
      <c r="EY22" s="74" t="s">
        <v>32</v>
      </c>
      <c r="EZ22" s="77" t="s">
        <v>86</v>
      </c>
      <c r="FA22" s="77" t="s">
        <v>208</v>
      </c>
      <c r="FB22" s="78" t="s">
        <v>1</v>
      </c>
      <c r="FC22" s="58" t="s">
        <v>89</v>
      </c>
      <c r="FD22" s="22"/>
      <c r="FE22" s="22"/>
      <c r="FF22" s="11"/>
      <c r="FG22" s="8">
        <v>0.72200388634097101</v>
      </c>
      <c r="FH22" s="9">
        <v>0.77522845027563703</v>
      </c>
      <c r="FI22" s="9">
        <v>1.0771571403674201</v>
      </c>
      <c r="FJ22" s="9">
        <v>1.31444810149866</v>
      </c>
      <c r="FK22" s="9">
        <v>1.6737899819339099</v>
      </c>
      <c r="FL22" s="10">
        <v>3.1011823418428301</v>
      </c>
      <c r="FM22" s="14"/>
      <c r="FN22" s="3">
        <v>2463.33</v>
      </c>
      <c r="FO22" s="5">
        <v>500</v>
      </c>
      <c r="FP22" s="5" t="str">
        <f t="shared" si="3"/>
        <v>Q500</v>
      </c>
      <c r="FQ22" s="5">
        <v>114175</v>
      </c>
      <c r="FR22" s="5">
        <v>114175</v>
      </c>
      <c r="FS22" s="5">
        <v>25</v>
      </c>
      <c r="FT22" s="5" t="str">
        <f t="shared" si="32"/>
        <v>Q25</v>
      </c>
      <c r="FU22" s="68" t="s">
        <v>9</v>
      </c>
      <c r="FV22" s="5">
        <v>25</v>
      </c>
      <c r="FW22" s="5" t="str">
        <f t="shared" si="4"/>
        <v>Q25</v>
      </c>
      <c r="FX22" s="5"/>
      <c r="FY22" s="5" t="str">
        <f t="shared" si="4"/>
        <v>---</v>
      </c>
      <c r="FZ22" s="5">
        <v>0.04</v>
      </c>
      <c r="GA22" s="4">
        <v>46.349859742706002</v>
      </c>
      <c r="GB22" s="5">
        <v>46.349859742706002</v>
      </c>
      <c r="GC22" s="4">
        <f t="shared" si="5"/>
        <v>46.349859742706002</v>
      </c>
      <c r="GE22" t="s">
        <v>9</v>
      </c>
      <c r="GF22">
        <v>111.77243460577201</v>
      </c>
      <c r="GG22">
        <v>173.25797331627999</v>
      </c>
      <c r="GH22">
        <v>276.11438837474401</v>
      </c>
      <c r="GI22">
        <v>314.019141696227</v>
      </c>
      <c r="GJ22">
        <v>359.35511785909</v>
      </c>
      <c r="GK22">
        <v>464.27733391985601</v>
      </c>
      <c r="GL22" s="19"/>
      <c r="GM22" s="14"/>
      <c r="GN22" s="15">
        <v>5.4570025417987004E-3</v>
      </c>
      <c r="GO22">
        <v>417.93043933819598</v>
      </c>
      <c r="GP22">
        <v>842.07954741109904</v>
      </c>
      <c r="GQ22">
        <v>1706.69814944722</v>
      </c>
      <c r="GR22">
        <v>85.373729471910593</v>
      </c>
      <c r="GS22">
        <v>116.835674741337</v>
      </c>
      <c r="GT22">
        <v>129.122806843653</v>
      </c>
      <c r="GU22">
        <v>134.23663249603101</v>
      </c>
      <c r="GV22">
        <v>145.77388826949601</v>
      </c>
      <c r="GW22">
        <v>178.13580074195499</v>
      </c>
      <c r="GX22" s="14"/>
      <c r="GY22" s="14"/>
      <c r="HA22" s="86"/>
      <c r="HE22" t="str">
        <f t="shared" si="29"/>
        <v/>
      </c>
      <c r="HF22">
        <v>1</v>
      </c>
      <c r="HH22">
        <f t="shared" si="30"/>
        <v>1</v>
      </c>
      <c r="HI22">
        <f t="shared" si="31"/>
        <v>1</v>
      </c>
      <c r="HJ22" t="str">
        <f t="shared" si="6"/>
        <v>Entrenched</v>
      </c>
    </row>
    <row r="23" spans="1:249" x14ac:dyDescent="0.3">
      <c r="A23" s="129" t="s">
        <v>85</v>
      </c>
      <c r="B23" s="33">
        <v>61.99</v>
      </c>
      <c r="C23" s="33"/>
      <c r="D23" s="33"/>
      <c r="E23" s="33"/>
      <c r="F23" s="33"/>
      <c r="G23" s="33"/>
      <c r="H23" s="33"/>
      <c r="I23" s="33"/>
      <c r="J23" s="33"/>
      <c r="K23" s="33"/>
      <c r="L23" s="33"/>
      <c r="M23" s="33">
        <v>0</v>
      </c>
      <c r="N23" s="33">
        <v>0</v>
      </c>
      <c r="O23" s="33">
        <v>0</v>
      </c>
      <c r="P23" s="33">
        <v>0</v>
      </c>
      <c r="Q23" s="33">
        <v>0</v>
      </c>
      <c r="R23" s="33">
        <v>0</v>
      </c>
      <c r="S23" s="33"/>
      <c r="T23" s="33">
        <v>15</v>
      </c>
      <c r="U23" s="33" t="s">
        <v>161</v>
      </c>
      <c r="V23" s="33" t="s">
        <v>85</v>
      </c>
      <c r="W23" s="33">
        <v>50.46</v>
      </c>
      <c r="X23" s="33">
        <f t="shared" si="11"/>
        <v>3.7630826464100924E-2</v>
      </c>
      <c r="Y23" s="33">
        <v>0</v>
      </c>
      <c r="Z23" s="33">
        <f t="shared" si="12"/>
        <v>0</v>
      </c>
      <c r="AA23" s="3">
        <f t="shared" si="0"/>
        <v>3.7630826464100924E-2</v>
      </c>
      <c r="AB23" s="33">
        <v>3.23</v>
      </c>
      <c r="AC23" s="33">
        <v>0</v>
      </c>
      <c r="AD23" s="33">
        <f t="shared" si="13"/>
        <v>0</v>
      </c>
      <c r="AE23" s="33">
        <v>0</v>
      </c>
      <c r="AF23" s="33">
        <f t="shared" si="14"/>
        <v>0</v>
      </c>
      <c r="AG23" s="33">
        <v>1312</v>
      </c>
      <c r="AH23" s="33" t="s">
        <v>123</v>
      </c>
      <c r="AI23" s="33">
        <v>8</v>
      </c>
      <c r="AJ23" s="33">
        <v>1.02288329601288</v>
      </c>
      <c r="AK23" s="33">
        <v>77.8</v>
      </c>
      <c r="AL23" s="32">
        <v>6</v>
      </c>
      <c r="AM23" s="32" t="s">
        <v>85</v>
      </c>
      <c r="AN23" s="32" t="s">
        <v>81</v>
      </c>
      <c r="AO23" s="32">
        <v>12</v>
      </c>
      <c r="AP23" s="32">
        <v>0.65</v>
      </c>
      <c r="AQ23" s="33" t="s">
        <v>93</v>
      </c>
      <c r="AR23" s="33" t="s">
        <v>85</v>
      </c>
      <c r="AS23" s="32" t="s">
        <v>5</v>
      </c>
      <c r="AT23" s="33" t="s">
        <v>120</v>
      </c>
      <c r="AU23" s="33" t="s">
        <v>86</v>
      </c>
      <c r="AV23" s="33" t="s">
        <v>86</v>
      </c>
      <c r="AW23" s="34" t="s">
        <v>93</v>
      </c>
      <c r="AX23" s="33" t="s">
        <v>121</v>
      </c>
      <c r="AY23" s="34">
        <v>1.0976864099502599</v>
      </c>
      <c r="AZ23" s="34"/>
      <c r="BA23" s="34" t="str">
        <f t="shared" si="26"/>
        <v>HE</v>
      </c>
      <c r="BB23" s="34">
        <v>1</v>
      </c>
      <c r="BC23" s="29">
        <f t="shared" si="27"/>
        <v>1</v>
      </c>
      <c r="BD23" s="34" t="b">
        <f t="shared" si="16"/>
        <v>0</v>
      </c>
      <c r="BE23" s="32" t="s">
        <v>99</v>
      </c>
      <c r="BF23" s="32" t="s">
        <v>99</v>
      </c>
      <c r="BG23" s="32">
        <v>77.8</v>
      </c>
      <c r="BH23" s="33">
        <v>1225.4100000000001</v>
      </c>
      <c r="BI23" s="33">
        <f t="shared" si="15"/>
        <v>0.91385634279377559</v>
      </c>
      <c r="BJ23" s="33">
        <v>0</v>
      </c>
      <c r="BK23" s="33">
        <f t="shared" si="33"/>
        <v>0</v>
      </c>
      <c r="BL23" s="54">
        <f t="shared" si="17"/>
        <v>0.91385634279377559</v>
      </c>
      <c r="BM23" s="33" t="s">
        <v>83</v>
      </c>
      <c r="BN23" s="33">
        <v>3</v>
      </c>
      <c r="BO23" s="33">
        <v>104.38999939999999</v>
      </c>
      <c r="BP23" s="33">
        <f t="shared" si="18"/>
        <v>104.38999939999999</v>
      </c>
      <c r="BQ23" s="55">
        <f t="shared" si="19"/>
        <v>3.8924712168143076E-2</v>
      </c>
      <c r="BR23" s="33">
        <v>104.39</v>
      </c>
      <c r="BS23" s="33">
        <v>0</v>
      </c>
      <c r="BT23" s="33">
        <v>3</v>
      </c>
      <c r="BU23" s="33">
        <v>0</v>
      </c>
      <c r="BV23" s="33" t="s">
        <v>94</v>
      </c>
      <c r="BW23" s="23" t="s">
        <v>93</v>
      </c>
      <c r="BX23" s="33">
        <v>1.2550411356670399</v>
      </c>
      <c r="BY23" s="170">
        <f t="shared" si="20"/>
        <v>1.3</v>
      </c>
      <c r="BZ23" s="170">
        <f t="shared" si="7"/>
        <v>0</v>
      </c>
      <c r="CA23" s="170">
        <f t="shared" si="8"/>
        <v>0.30000000000000004</v>
      </c>
      <c r="CB23" s="170" t="str">
        <f t="shared" si="9"/>
        <v/>
      </c>
      <c r="CC23" s="170" t="str">
        <f t="shared" si="10"/>
        <v>1.3</v>
      </c>
      <c r="CD23" s="27"/>
      <c r="CE23" s="109" t="s">
        <v>10</v>
      </c>
      <c r="CF23" s="4">
        <v>37.200000000000003</v>
      </c>
      <c r="CG23" s="95">
        <v>212.68455045564301</v>
      </c>
      <c r="CH23" s="4">
        <f t="shared" si="1"/>
        <v>0.40871300000000005</v>
      </c>
      <c r="CI23" s="16">
        <v>6.3506202510991002E-3</v>
      </c>
      <c r="CJ23" s="7" t="str">
        <f t="shared" si="21"/>
        <v>NC (1.3)</v>
      </c>
      <c r="CK23" s="3" t="s">
        <v>122</v>
      </c>
      <c r="CL23" s="99" t="s">
        <v>50</v>
      </c>
      <c r="CM23" s="97" t="s">
        <v>50</v>
      </c>
      <c r="CN23" s="149">
        <v>0.91385634279377559</v>
      </c>
      <c r="CO23" s="145" t="str">
        <f t="shared" si="22"/>
        <v>---</v>
      </c>
      <c r="CP23" s="87" t="str">
        <f t="shared" si="23"/>
        <v>---</v>
      </c>
      <c r="CQ23" s="109" t="s">
        <v>10</v>
      </c>
      <c r="CR23" s="5" t="s">
        <v>122</v>
      </c>
      <c r="CS23" s="137">
        <v>0</v>
      </c>
      <c r="CT23" s="95">
        <v>0</v>
      </c>
      <c r="CU23" s="95">
        <v>0</v>
      </c>
      <c r="CV23" s="95">
        <v>0</v>
      </c>
      <c r="CW23" s="95">
        <v>0</v>
      </c>
      <c r="CX23" s="96">
        <v>0</v>
      </c>
      <c r="CY23" s="137">
        <v>7.6103901291599968E-2</v>
      </c>
      <c r="CZ23" s="95">
        <v>8.0474688402447675E-2</v>
      </c>
      <c r="DA23" s="95">
        <v>8.4629420965934496E-2</v>
      </c>
      <c r="DB23" s="95">
        <v>8.659883724786023E-2</v>
      </c>
      <c r="DC23" s="95">
        <v>8.7424965613286332E-2</v>
      </c>
      <c r="DD23" s="96">
        <v>8.9650492588549166E-2</v>
      </c>
      <c r="DE23" s="205">
        <v>280.509283790815</v>
      </c>
      <c r="DF23" s="3">
        <v>538.702189490931</v>
      </c>
      <c r="DG23" s="3">
        <v>1078.41366808506</v>
      </c>
      <c r="DH23" s="3">
        <v>280.509283790815</v>
      </c>
      <c r="DI23" s="3">
        <v>538.702189490931</v>
      </c>
      <c r="DJ23" s="3">
        <v>1078.41366808506</v>
      </c>
      <c r="DK23" s="92" t="str">
        <f t="shared" si="34"/>
        <v>Q25</v>
      </c>
      <c r="DL23" s="95">
        <v>156.020772497541</v>
      </c>
      <c r="DM23" s="95">
        <v>223.45548405619201</v>
      </c>
      <c r="DN23" s="95">
        <v>360.39417428180798</v>
      </c>
      <c r="DO23" s="95">
        <v>426.26432218159198</v>
      </c>
      <c r="DP23" s="95">
        <v>495.83336310228901</v>
      </c>
      <c r="DQ23" s="96">
        <v>696.07126111078196</v>
      </c>
      <c r="DR23" t="b">
        <f t="shared" si="24"/>
        <v>1</v>
      </c>
      <c r="DS23" t="s">
        <v>10</v>
      </c>
      <c r="DT23">
        <v>212.68455045564301</v>
      </c>
      <c r="EO23" s="163" t="s">
        <v>10</v>
      </c>
      <c r="EP23" s="92" t="str">
        <f t="shared" si="25"/>
        <v>---</v>
      </c>
      <c r="EQ23" s="22" t="b">
        <f t="shared" si="2"/>
        <v>0</v>
      </c>
      <c r="ER23" s="79"/>
      <c r="ES23" s="23"/>
      <c r="ET23" s="59"/>
      <c r="EU23" s="68"/>
      <c r="EV23" s="4"/>
      <c r="EW23" s="16"/>
      <c r="EX23" s="5"/>
      <c r="EY23" s="74"/>
      <c r="EZ23" s="77"/>
      <c r="FA23" s="77"/>
      <c r="FB23" s="78"/>
      <c r="FC23" s="58"/>
      <c r="FD23" s="22"/>
      <c r="FE23" s="22"/>
      <c r="FF23" s="11"/>
      <c r="FG23" s="8">
        <v>0.30249783244929601</v>
      </c>
      <c r="FH23" s="9">
        <v>0.232694228437169</v>
      </c>
      <c r="FI23" s="9">
        <v>0.13964210305972399</v>
      </c>
      <c r="FJ23" s="9">
        <v>9.5583713191647393E-2</v>
      </c>
      <c r="FK23" s="9">
        <v>4.3038807272779998E-2</v>
      </c>
      <c r="FL23" s="10">
        <v>-0.139574902476406</v>
      </c>
      <c r="FM23" s="14"/>
      <c r="FN23" s="3">
        <v>408.71300000000002</v>
      </c>
      <c r="FO23" s="5">
        <v>25</v>
      </c>
      <c r="FP23" s="5" t="str">
        <f t="shared" si="3"/>
        <v>Q25</v>
      </c>
      <c r="FQ23" s="5">
        <v>0</v>
      </c>
      <c r="FR23" s="5"/>
      <c r="FS23" s="5"/>
      <c r="FT23" s="5"/>
      <c r="FU23" s="68" t="s">
        <v>10</v>
      </c>
      <c r="FV23" s="5"/>
      <c r="FW23" s="5" t="str">
        <f t="shared" si="4"/>
        <v>---</v>
      </c>
      <c r="FX23" s="5"/>
      <c r="FY23" s="5" t="str">
        <f t="shared" si="4"/>
        <v>---</v>
      </c>
      <c r="FZ23" s="5"/>
      <c r="GA23" s="4">
        <v>0</v>
      </c>
      <c r="GB23" s="5"/>
      <c r="GC23" s="4" t="str">
        <f t="shared" si="5"/>
        <v>na</v>
      </c>
      <c r="GE23" t="s">
        <v>10</v>
      </c>
      <c r="GF23">
        <v>156.020772497541</v>
      </c>
      <c r="GG23">
        <v>223.45548405619201</v>
      </c>
      <c r="GH23">
        <v>360.39417428180798</v>
      </c>
      <c r="GI23">
        <v>426.26432218159198</v>
      </c>
      <c r="GJ23">
        <v>495.83336310228901</v>
      </c>
      <c r="GK23">
        <v>696.07126111078196</v>
      </c>
      <c r="GL23" s="19"/>
      <c r="GM23" s="14"/>
      <c r="GN23" s="15">
        <v>6.3506202510991002E-3</v>
      </c>
      <c r="GO23">
        <v>280.509283790815</v>
      </c>
      <c r="GP23">
        <v>538.702189490931</v>
      </c>
      <c r="GQ23">
        <v>1078.41366808506</v>
      </c>
      <c r="GR23">
        <v>107.366581914099</v>
      </c>
      <c r="GS23">
        <v>147.60973097720199</v>
      </c>
      <c r="GT23">
        <v>223.579887276855</v>
      </c>
      <c r="GU23">
        <v>258.98006471584699</v>
      </c>
      <c r="GV23">
        <v>295.36161736842303</v>
      </c>
      <c r="GW23">
        <v>392.91491349381198</v>
      </c>
      <c r="GX23" s="14"/>
      <c r="GY23" s="14"/>
      <c r="HE23" t="str">
        <f t="shared" si="29"/>
        <v/>
      </c>
      <c r="HH23">
        <f t="shared" si="30"/>
        <v>0</v>
      </c>
      <c r="HI23" t="str">
        <f t="shared" si="31"/>
        <v/>
      </c>
      <c r="HJ23" t="str">
        <f t="shared" si="6"/>
        <v/>
      </c>
    </row>
    <row r="24" spans="1:249" x14ac:dyDescent="0.3">
      <c r="A24" s="129" t="s">
        <v>85</v>
      </c>
      <c r="B24" s="33">
        <v>59.79</v>
      </c>
      <c r="C24" s="33"/>
      <c r="D24" s="33"/>
      <c r="E24" s="33"/>
      <c r="F24" s="33"/>
      <c r="G24" s="33"/>
      <c r="H24" s="33"/>
      <c r="I24" s="33"/>
      <c r="J24" s="33"/>
      <c r="K24" s="33"/>
      <c r="L24" s="33"/>
      <c r="M24" s="33">
        <v>0</v>
      </c>
      <c r="N24" s="33">
        <v>0</v>
      </c>
      <c r="O24" s="33">
        <v>0</v>
      </c>
      <c r="P24" s="33">
        <v>0</v>
      </c>
      <c r="Q24" s="33">
        <v>0</v>
      </c>
      <c r="R24" s="33">
        <v>0</v>
      </c>
      <c r="S24" s="33"/>
      <c r="T24" s="33">
        <v>17</v>
      </c>
      <c r="U24" s="33" t="s">
        <v>161</v>
      </c>
      <c r="V24" s="33" t="s">
        <v>161</v>
      </c>
      <c r="W24" s="33">
        <v>85.75</v>
      </c>
      <c r="X24" s="33">
        <f t="shared" si="11"/>
        <v>3.48741883561531E-2</v>
      </c>
      <c r="Y24" s="33">
        <v>45.05</v>
      </c>
      <c r="Z24" s="33">
        <f t="shared" si="12"/>
        <v>1.8321658139296759E-2</v>
      </c>
      <c r="AA24" s="3">
        <f t="shared" si="0"/>
        <v>5.319584649544986E-2</v>
      </c>
      <c r="AB24" s="33">
        <v>5.31</v>
      </c>
      <c r="AC24" s="33">
        <v>649.76</v>
      </c>
      <c r="AD24" s="33">
        <f t="shared" si="13"/>
        <v>0.26425484112296255</v>
      </c>
      <c r="AE24" s="33">
        <v>533.51</v>
      </c>
      <c r="AF24" s="33">
        <f t="shared" si="14"/>
        <v>0.21697642250602028</v>
      </c>
      <c r="AG24" s="33">
        <v>2459</v>
      </c>
      <c r="AH24" s="33" t="s">
        <v>123</v>
      </c>
      <c r="AI24" s="33">
        <v>12</v>
      </c>
      <c r="AJ24" s="33">
        <v>1.0526541471481301</v>
      </c>
      <c r="AK24" s="33">
        <v>75</v>
      </c>
      <c r="AL24" s="32">
        <v>12</v>
      </c>
      <c r="AM24" s="32" t="s">
        <v>85</v>
      </c>
      <c r="AN24" s="32" t="s">
        <v>86</v>
      </c>
      <c r="AO24" s="32">
        <v>14</v>
      </c>
      <c r="AP24" s="32">
        <v>0.6875</v>
      </c>
      <c r="AQ24" s="33" t="s">
        <v>93</v>
      </c>
      <c r="AR24" s="33" t="s">
        <v>85</v>
      </c>
      <c r="AS24" s="32" t="s">
        <v>5</v>
      </c>
      <c r="AT24" s="33" t="s">
        <v>120</v>
      </c>
      <c r="AU24" s="33" t="s">
        <v>86</v>
      </c>
      <c r="AV24" s="33" t="s">
        <v>86</v>
      </c>
      <c r="AW24" s="34" t="s">
        <v>93</v>
      </c>
      <c r="AX24" s="33" t="s">
        <v>130</v>
      </c>
      <c r="AY24" s="34">
        <v>1.20100498199463</v>
      </c>
      <c r="AZ24" s="34"/>
      <c r="BA24" s="34" t="str">
        <f t="shared" si="26"/>
        <v>HE</v>
      </c>
      <c r="BB24" s="34">
        <v>1</v>
      </c>
      <c r="BC24" s="29">
        <f t="shared" si="27"/>
        <v>1</v>
      </c>
      <c r="BD24" s="34" t="b">
        <f t="shared" si="16"/>
        <v>0</v>
      </c>
      <c r="BE24" s="32" t="s">
        <v>97</v>
      </c>
      <c r="BF24" s="32" t="s">
        <v>97</v>
      </c>
      <c r="BG24" s="32">
        <v>75</v>
      </c>
      <c r="BH24" s="33">
        <v>1066.6300000000001</v>
      </c>
      <c r="BI24" s="33">
        <f t="shared" si="15"/>
        <v>0.43379423354313218</v>
      </c>
      <c r="BJ24" s="33">
        <v>196.11</v>
      </c>
      <c r="BK24" s="33">
        <f t="shared" si="33"/>
        <v>7.9757167096503614E-2</v>
      </c>
      <c r="BL24" s="54">
        <f t="shared" si="17"/>
        <v>0.51355140063963578</v>
      </c>
      <c r="BM24" s="33" t="s">
        <v>83</v>
      </c>
      <c r="BN24" s="33">
        <v>8</v>
      </c>
      <c r="BO24" s="33">
        <v>148.36999510000001</v>
      </c>
      <c r="BP24" s="33">
        <f t="shared" si="18"/>
        <v>148.36999510000001</v>
      </c>
      <c r="BQ24" s="55">
        <f t="shared" si="19"/>
        <v>3.0170747262500949E-2</v>
      </c>
      <c r="BR24" s="33">
        <v>148.37</v>
      </c>
      <c r="BS24" s="33">
        <v>0</v>
      </c>
      <c r="BT24" s="33">
        <v>8</v>
      </c>
      <c r="BU24" s="33">
        <v>0</v>
      </c>
      <c r="BV24" s="33" t="s">
        <v>94</v>
      </c>
      <c r="BW24" s="23" t="s">
        <v>93</v>
      </c>
      <c r="BX24" s="33">
        <v>1.25439036628199</v>
      </c>
      <c r="BY24" s="170">
        <f t="shared" si="20"/>
        <v>1.3</v>
      </c>
      <c r="BZ24" s="170">
        <f t="shared" si="7"/>
        <v>0</v>
      </c>
      <c r="CA24" s="170">
        <f t="shared" si="8"/>
        <v>0.30000000000000004</v>
      </c>
      <c r="CB24" s="170" t="str">
        <f t="shared" si="9"/>
        <v/>
      </c>
      <c r="CC24" s="170" t="str">
        <f t="shared" si="10"/>
        <v>1.3</v>
      </c>
      <c r="CD24" s="27"/>
      <c r="CE24" s="109" t="s">
        <v>11</v>
      </c>
      <c r="CF24" s="4">
        <v>34.5</v>
      </c>
      <c r="CG24" s="95">
        <v>169.98112777681601</v>
      </c>
      <c r="CH24" s="4">
        <f t="shared" si="1"/>
        <v>0.74945399999999995</v>
      </c>
      <c r="CI24" s="16">
        <v>1.67200172246228E-2</v>
      </c>
      <c r="CJ24" s="7" t="str">
        <f t="shared" si="21"/>
        <v>NC (1.3)</v>
      </c>
      <c r="CK24" s="3" t="s">
        <v>122</v>
      </c>
      <c r="CL24" s="99" t="s">
        <v>50</v>
      </c>
      <c r="CM24" s="97" t="s">
        <v>50</v>
      </c>
      <c r="CN24" s="149">
        <v>0.51355140063963578</v>
      </c>
      <c r="CO24" s="145" t="str">
        <f t="shared" si="22"/>
        <v>---</v>
      </c>
      <c r="CP24" s="87" t="str">
        <f t="shared" si="23"/>
        <v>---</v>
      </c>
      <c r="CQ24" s="109" t="s">
        <v>11</v>
      </c>
      <c r="CR24" s="5" t="s">
        <v>122</v>
      </c>
      <c r="CS24" s="137">
        <v>0</v>
      </c>
      <c r="CT24" s="95">
        <v>0</v>
      </c>
      <c r="CU24" s="95">
        <v>0</v>
      </c>
      <c r="CV24" s="95">
        <v>0</v>
      </c>
      <c r="CW24" s="95">
        <v>0</v>
      </c>
      <c r="CX24" s="96">
        <v>0</v>
      </c>
      <c r="CY24" s="137">
        <v>1.0962977792624699E-2</v>
      </c>
      <c r="CZ24" s="95">
        <v>1.0962977792624699E-2</v>
      </c>
      <c r="DA24" s="95">
        <v>1.1108939938890739E-2</v>
      </c>
      <c r="DB24" s="95">
        <v>1.1217407249446998E-2</v>
      </c>
      <c r="DC24" s="95">
        <v>1.1271918521788021E-2</v>
      </c>
      <c r="DD24" s="96">
        <v>1.1271918521788021E-2</v>
      </c>
      <c r="DE24" s="205">
        <v>106.95383805228499</v>
      </c>
      <c r="DF24" s="3">
        <v>233.63374397186101</v>
      </c>
      <c r="DG24" s="3">
        <v>567.79366401263496</v>
      </c>
      <c r="DH24" s="3">
        <v>106.95383805228499</v>
      </c>
      <c r="DI24" s="3">
        <v>233.63374397186101</v>
      </c>
      <c r="DJ24" s="3">
        <v>567.79366401263496</v>
      </c>
      <c r="DK24" s="92" t="str">
        <f t="shared" si="34"/>
        <v>Q2</v>
      </c>
      <c r="DL24" s="95">
        <v>490.356167819988</v>
      </c>
      <c r="DM24" s="95">
        <v>678.32693604910696</v>
      </c>
      <c r="DN24" s="95">
        <v>1117.1244414376599</v>
      </c>
      <c r="DO24" s="95">
        <v>1362.4731516491299</v>
      </c>
      <c r="DP24" s="95">
        <v>1540.77911787582</v>
      </c>
      <c r="DQ24" s="96">
        <v>2216.3372697228901</v>
      </c>
      <c r="DR24" t="b">
        <f t="shared" si="24"/>
        <v>1</v>
      </c>
      <c r="DS24" t="s">
        <v>11</v>
      </c>
      <c r="DT24">
        <v>169.98112777681601</v>
      </c>
      <c r="EO24" s="163" t="s">
        <v>11</v>
      </c>
      <c r="EP24" s="92" t="str">
        <f t="shared" si="25"/>
        <v>---</v>
      </c>
      <c r="EQ24" s="22" t="b">
        <f t="shared" si="2"/>
        <v>0</v>
      </c>
      <c r="ER24" s="79"/>
      <c r="ES24" s="23"/>
      <c r="ET24" s="59"/>
      <c r="EU24" s="68"/>
      <c r="EV24" s="4"/>
      <c r="EW24" s="16"/>
      <c r="EX24" s="5"/>
      <c r="EY24" s="74"/>
      <c r="EZ24" s="77"/>
      <c r="FA24" s="77"/>
      <c r="FB24" s="78"/>
      <c r="FC24" s="58"/>
      <c r="FD24" s="22"/>
      <c r="FE24" s="22"/>
      <c r="FF24" s="11"/>
      <c r="FG24" s="8">
        <v>1.27132424629954</v>
      </c>
      <c r="FH24" s="9">
        <v>1.2892615806926699</v>
      </c>
      <c r="FI24" s="9">
        <v>1.3071715614842701</v>
      </c>
      <c r="FJ24" s="9">
        <v>1.3152724374986899</v>
      </c>
      <c r="FK24" s="9">
        <v>1.3219915371051001</v>
      </c>
      <c r="FL24" s="10">
        <v>1.34430170978341</v>
      </c>
      <c r="FM24" s="14"/>
      <c r="FN24" s="3">
        <v>749.45399999999995</v>
      </c>
      <c r="FO24" s="5">
        <v>2</v>
      </c>
      <c r="FP24" s="5" t="str">
        <f t="shared" si="3"/>
        <v>Q2</v>
      </c>
      <c r="FQ24" s="5">
        <v>0</v>
      </c>
      <c r="FR24" s="5"/>
      <c r="FS24" s="5"/>
      <c r="FT24" s="5"/>
      <c r="FU24" s="68" t="s">
        <v>11</v>
      </c>
      <c r="FV24" s="5"/>
      <c r="FW24" s="5" t="str">
        <f t="shared" si="4"/>
        <v>---</v>
      </c>
      <c r="FX24" s="5"/>
      <c r="FY24" s="5" t="str">
        <f t="shared" si="4"/>
        <v>---</v>
      </c>
      <c r="FZ24" s="5"/>
      <c r="GA24" s="4">
        <v>0</v>
      </c>
      <c r="GB24" s="5"/>
      <c r="GC24" s="4" t="str">
        <f t="shared" si="5"/>
        <v>na</v>
      </c>
      <c r="GE24" t="s">
        <v>11</v>
      </c>
      <c r="GF24">
        <v>490.356167819988</v>
      </c>
      <c r="GG24">
        <v>678.32693604910696</v>
      </c>
      <c r="GH24">
        <v>1117.1244414376599</v>
      </c>
      <c r="GI24">
        <v>1362.4731516491299</v>
      </c>
      <c r="GJ24">
        <v>1540.77911787582</v>
      </c>
      <c r="GK24">
        <v>2216.3372697228901</v>
      </c>
      <c r="GL24" s="19"/>
      <c r="GM24" s="14"/>
      <c r="GN24" s="15">
        <v>1.67200172246228E-2</v>
      </c>
      <c r="GO24">
        <v>106.95383805228499</v>
      </c>
      <c r="GP24">
        <v>233.63374397186101</v>
      </c>
      <c r="GQ24">
        <v>567.79366401263496</v>
      </c>
      <c r="GR24">
        <v>413.10781445649201</v>
      </c>
      <c r="GS24">
        <v>555.546211344575</v>
      </c>
      <c r="GT24">
        <v>853.75136650157003</v>
      </c>
      <c r="GU24">
        <v>1009.77400945973</v>
      </c>
      <c r="GV24">
        <v>1120.8257369299399</v>
      </c>
      <c r="GW24">
        <v>1522.7835506854101</v>
      </c>
      <c r="GX24" s="14"/>
      <c r="GY24" s="14"/>
      <c r="HE24" t="str">
        <f t="shared" si="29"/>
        <v/>
      </c>
      <c r="HH24">
        <f t="shared" si="30"/>
        <v>0</v>
      </c>
      <c r="HI24" t="str">
        <f t="shared" si="31"/>
        <v/>
      </c>
      <c r="HJ24" t="str">
        <f t="shared" si="6"/>
        <v/>
      </c>
    </row>
    <row r="25" spans="1:249" x14ac:dyDescent="0.3">
      <c r="A25" s="128" t="s">
        <v>85</v>
      </c>
      <c r="B25" s="3">
        <v>53.5</v>
      </c>
      <c r="C25" s="3"/>
      <c r="D25" s="3"/>
      <c r="E25" s="3"/>
      <c r="F25" s="3"/>
      <c r="G25" s="3"/>
      <c r="H25" s="3"/>
      <c r="I25" s="3"/>
      <c r="J25" s="3"/>
      <c r="K25" s="3"/>
      <c r="L25" s="3"/>
      <c r="M25" s="3">
        <v>0</v>
      </c>
      <c r="N25" s="3">
        <v>0</v>
      </c>
      <c r="O25" s="3">
        <v>0</v>
      </c>
      <c r="P25" s="3">
        <v>0</v>
      </c>
      <c r="Q25" s="3">
        <v>0</v>
      </c>
      <c r="R25" s="3">
        <v>0</v>
      </c>
      <c r="S25" s="3"/>
      <c r="T25" s="3">
        <v>14</v>
      </c>
      <c r="U25" s="3" t="s">
        <v>161</v>
      </c>
      <c r="V25" s="3" t="s">
        <v>128</v>
      </c>
      <c r="W25" s="3">
        <v>619.67999999999995</v>
      </c>
      <c r="X25" s="3">
        <f t="shared" si="11"/>
        <v>0.29589887174776436</v>
      </c>
      <c r="Y25" s="3">
        <v>334.06</v>
      </c>
      <c r="Z25" s="3">
        <f t="shared" si="12"/>
        <v>0.15951455121362346</v>
      </c>
      <c r="AA25" s="3">
        <f t="shared" si="0"/>
        <v>0.45541342296138781</v>
      </c>
      <c r="AB25" s="3">
        <v>6.37</v>
      </c>
      <c r="AC25" s="3">
        <v>899.34</v>
      </c>
      <c r="AD25" s="3">
        <f t="shared" si="13"/>
        <v>0.42943727620325722</v>
      </c>
      <c r="AE25" s="3">
        <v>142.36000000000001</v>
      </c>
      <c r="AF25" s="3">
        <f t="shared" si="14"/>
        <v>6.7977284053078596E-2</v>
      </c>
      <c r="AG25" s="3">
        <v>2093</v>
      </c>
      <c r="AH25" s="3" t="s">
        <v>123</v>
      </c>
      <c r="AI25" s="3">
        <v>9</v>
      </c>
      <c r="AJ25" s="3">
        <v>1.03379154205322</v>
      </c>
      <c r="AK25" s="3">
        <v>215</v>
      </c>
      <c r="AL25" s="5">
        <v>24</v>
      </c>
      <c r="AM25" s="5" t="s">
        <v>95</v>
      </c>
      <c r="AN25" s="5" t="s">
        <v>86</v>
      </c>
      <c r="AO25" s="5">
        <v>5</v>
      </c>
      <c r="AP25" s="5">
        <v>0.5</v>
      </c>
      <c r="AQ25" s="3" t="s">
        <v>88</v>
      </c>
      <c r="AR25" s="3" t="s">
        <v>85</v>
      </c>
      <c r="AS25" s="5" t="s">
        <v>1</v>
      </c>
      <c r="AT25" s="3" t="s">
        <v>120</v>
      </c>
      <c r="AU25" s="3" t="s">
        <v>81</v>
      </c>
      <c r="AV25" s="3"/>
      <c r="AW25" s="23" t="s">
        <v>88</v>
      </c>
      <c r="AX25" s="3" t="s">
        <v>130</v>
      </c>
      <c r="AY25" s="23">
        <v>1.2133550643920901</v>
      </c>
      <c r="AZ25" s="23"/>
      <c r="BA25" s="59" t="str">
        <f t="shared" si="26"/>
        <v>HE</v>
      </c>
      <c r="BB25" s="23">
        <v>2.0094635486602801</v>
      </c>
      <c r="BC25" s="4">
        <f t="shared" si="27"/>
        <v>2</v>
      </c>
      <c r="BD25" s="23" t="b">
        <f t="shared" si="16"/>
        <v>1</v>
      </c>
      <c r="BE25" s="5" t="s">
        <v>90</v>
      </c>
      <c r="BF25" s="5" t="s">
        <v>82</v>
      </c>
      <c r="BG25" s="5">
        <v>235</v>
      </c>
      <c r="BH25" s="3">
        <v>656.34</v>
      </c>
      <c r="BI25" s="3">
        <f t="shared" si="15"/>
        <v>0.31340412064763701</v>
      </c>
      <c r="BJ25" s="3">
        <v>1434.13</v>
      </c>
      <c r="BK25" s="3">
        <f t="shared" si="33"/>
        <v>0.68480094393819613</v>
      </c>
      <c r="BL25" s="56">
        <f t="shared" si="17"/>
        <v>0.99820506458583314</v>
      </c>
      <c r="BM25" s="3" t="s">
        <v>83</v>
      </c>
      <c r="BN25" s="3">
        <v>5.7779999999999996</v>
      </c>
      <c r="BO25" s="3">
        <v>370.30001829999998</v>
      </c>
      <c r="BP25" s="3">
        <f t="shared" si="18"/>
        <v>370.30001829999998</v>
      </c>
      <c r="BQ25" s="57">
        <f t="shared" si="19"/>
        <v>8.840962885936815E-2</v>
      </c>
      <c r="BR25" s="3">
        <v>0</v>
      </c>
      <c r="BS25" s="3">
        <v>0</v>
      </c>
      <c r="BT25" s="3">
        <v>0</v>
      </c>
      <c r="BU25" s="3">
        <v>0</v>
      </c>
      <c r="BV25" s="3" t="s">
        <v>87</v>
      </c>
      <c r="BW25" s="23" t="s">
        <v>88</v>
      </c>
      <c r="BX25" s="3">
        <v>4.0186915887850496</v>
      </c>
      <c r="BY25" s="170">
        <f t="shared" si="20"/>
        <v>4</v>
      </c>
      <c r="BZ25" s="170">
        <f t="shared" si="7"/>
        <v>0</v>
      </c>
      <c r="CA25" s="170">
        <f t="shared" si="8"/>
        <v>0</v>
      </c>
      <c r="CB25" s="170" t="str">
        <f t="shared" si="9"/>
        <v>.0</v>
      </c>
      <c r="CC25" s="170" t="str">
        <f t="shared" si="10"/>
        <v>4.0</v>
      </c>
      <c r="CD25" s="27"/>
      <c r="CE25" s="109" t="s">
        <v>6</v>
      </c>
      <c r="CF25" s="4">
        <v>27.6</v>
      </c>
      <c r="CG25" s="95">
        <v>128</v>
      </c>
      <c r="CH25" s="4">
        <f t="shared" si="1"/>
        <v>0.63832100000000003</v>
      </c>
      <c r="CI25" s="16">
        <v>9.7990091663568996E-3</v>
      </c>
      <c r="CJ25" s="7" t="str">
        <f t="shared" si="21"/>
        <v>NW (4.0)</v>
      </c>
      <c r="CK25" s="3" t="s">
        <v>129</v>
      </c>
      <c r="CL25" s="23">
        <v>1.2133550643920901</v>
      </c>
      <c r="CM25" s="4">
        <v>2</v>
      </c>
      <c r="CN25" s="149">
        <v>0.99820506458583314</v>
      </c>
      <c r="CO25" s="145" t="str">
        <f t="shared" si="22"/>
        <v>&gt;Q500</v>
      </c>
      <c r="CP25" s="87" t="str">
        <f t="shared" si="23"/>
        <v>---</v>
      </c>
      <c r="CQ25" s="109" t="s">
        <v>6</v>
      </c>
      <c r="CR25" s="5" t="s">
        <v>129</v>
      </c>
      <c r="CS25" s="137">
        <v>0</v>
      </c>
      <c r="CT25" s="95">
        <v>0</v>
      </c>
      <c r="CU25" s="95">
        <v>0</v>
      </c>
      <c r="CV25" s="95">
        <v>0</v>
      </c>
      <c r="CW25" s="95">
        <v>0</v>
      </c>
      <c r="CX25" s="96">
        <v>0</v>
      </c>
      <c r="CY25" s="137">
        <v>7.1219668082933511E-3</v>
      </c>
      <c r="CZ25" s="95">
        <v>7.7983764150648654E-3</v>
      </c>
      <c r="DA25" s="95">
        <v>1.1319645002578687E-2</v>
      </c>
      <c r="DB25" s="95">
        <v>2.2635096510098523E-2</v>
      </c>
      <c r="DC25" s="95">
        <v>5.121418910455993E-2</v>
      </c>
      <c r="DD25" s="96">
        <v>0.34265201639378934</v>
      </c>
      <c r="DE25" s="205">
        <v>117.042985944234</v>
      </c>
      <c r="DF25" s="3">
        <v>206.86279384199099</v>
      </c>
      <c r="DG25" s="3">
        <v>365.60645364919901</v>
      </c>
      <c r="DH25" s="3">
        <v>117.042985944234</v>
      </c>
      <c r="DI25" s="3">
        <v>206.86279384199099</v>
      </c>
      <c r="DJ25" s="3">
        <v>365.60645364919901</v>
      </c>
      <c r="DK25" s="92" t="str">
        <f t="shared" si="34"/>
        <v>Q2</v>
      </c>
      <c r="DL25" s="95">
        <v>195.80510215713699</v>
      </c>
      <c r="DM25" s="95">
        <v>309.36498233083699</v>
      </c>
      <c r="DN25" s="95">
        <v>483.99247188426398</v>
      </c>
      <c r="DO25" s="95">
        <v>550.601101656938</v>
      </c>
      <c r="DP25" s="95">
        <v>656.35487213265503</v>
      </c>
      <c r="DQ25" s="96">
        <v>881.47857613975702</v>
      </c>
      <c r="DR25" t="b">
        <f t="shared" si="24"/>
        <v>1</v>
      </c>
      <c r="DS25" t="s">
        <v>6</v>
      </c>
      <c r="DT25">
        <v>128</v>
      </c>
      <c r="EO25" s="163" t="s">
        <v>6</v>
      </c>
      <c r="EP25" s="92" t="str">
        <f t="shared" si="25"/>
        <v>&gt;Q500</v>
      </c>
      <c r="EQ25" s="22" t="b">
        <f t="shared" si="2"/>
        <v>1</v>
      </c>
      <c r="ER25" s="79">
        <v>2</v>
      </c>
      <c r="ES25" s="23">
        <v>1.2133550643920901</v>
      </c>
      <c r="ET25" s="59" t="str">
        <f t="shared" si="28"/>
        <v>HE</v>
      </c>
      <c r="EU25" s="68" t="s">
        <v>6</v>
      </c>
      <c r="EV25" s="4">
        <v>0.63832100000000003</v>
      </c>
      <c r="EW25" s="16">
        <v>9.7990091663568996E-3</v>
      </c>
      <c r="EX25" s="5" t="s">
        <v>30</v>
      </c>
      <c r="EY25" t="s">
        <v>206</v>
      </c>
      <c r="EZ25" s="18" t="s">
        <v>208</v>
      </c>
      <c r="FA25" s="18" t="s">
        <v>208</v>
      </c>
      <c r="FB25" s="5" t="s">
        <v>1</v>
      </c>
      <c r="FC25" s="23" t="s">
        <v>88</v>
      </c>
      <c r="FD25" s="22"/>
      <c r="FE25" s="22"/>
      <c r="FF25" s="11"/>
      <c r="FG25" s="8">
        <v>0.63860924836945498</v>
      </c>
      <c r="FH25" s="9">
        <v>0.66111094664250702</v>
      </c>
      <c r="FI25" s="9">
        <v>0.71227303218828697</v>
      </c>
      <c r="FJ25" s="9">
        <v>0.75630933083055196</v>
      </c>
      <c r="FK25" s="9">
        <v>0.81400385558187005</v>
      </c>
      <c r="FL25" s="10">
        <v>1.1731264769579699</v>
      </c>
      <c r="FM25" s="14"/>
      <c r="FN25" s="3">
        <v>638.32100000000003</v>
      </c>
      <c r="FO25" s="5">
        <v>2</v>
      </c>
      <c r="FP25" s="5" t="str">
        <f t="shared" si="3"/>
        <v>Q2</v>
      </c>
      <c r="FQ25" s="5">
        <v>8260</v>
      </c>
      <c r="FR25" s="5">
        <v>8260</v>
      </c>
      <c r="FS25" s="5">
        <v>1000</v>
      </c>
      <c r="FT25" s="5" t="str">
        <f>IF(ISBLANK(FS25),"na",CONCATENATE("Q",FS25))</f>
        <v>Q1000</v>
      </c>
      <c r="FU25" s="68" t="s">
        <v>6</v>
      </c>
      <c r="FV25" s="5">
        <v>1000</v>
      </c>
      <c r="FW25" s="5" t="str">
        <f t="shared" si="4"/>
        <v>&gt;Q500</v>
      </c>
      <c r="FX25" s="5"/>
      <c r="FY25" s="5" t="str">
        <f t="shared" si="4"/>
        <v>---</v>
      </c>
      <c r="FZ25" s="5">
        <v>1E-3</v>
      </c>
      <c r="GA25" s="4">
        <v>12.940197800166301</v>
      </c>
      <c r="GB25" s="5">
        <v>12.940197800166301</v>
      </c>
      <c r="GC25" s="4">
        <f t="shared" si="5"/>
        <v>12.940197800166301</v>
      </c>
      <c r="GE25" t="s">
        <v>6</v>
      </c>
      <c r="GF25">
        <v>195.80510215713699</v>
      </c>
      <c r="GG25">
        <v>309.36498233083699</v>
      </c>
      <c r="GH25">
        <v>483.99247188426398</v>
      </c>
      <c r="GI25">
        <v>550.601101656938</v>
      </c>
      <c r="GJ25">
        <v>656.35487213265503</v>
      </c>
      <c r="GK25">
        <v>881.47857613975702</v>
      </c>
      <c r="GL25" s="19"/>
      <c r="GM25" s="14"/>
      <c r="GN25" s="15">
        <v>9.7990091663568996E-3</v>
      </c>
      <c r="GO25">
        <v>117.042985944234</v>
      </c>
      <c r="GP25">
        <v>206.86279384199099</v>
      </c>
      <c r="GQ25">
        <v>365.60645364919901</v>
      </c>
      <c r="GR25">
        <v>169.01125650380499</v>
      </c>
      <c r="GS25">
        <v>245.95733496809001</v>
      </c>
      <c r="GT25">
        <v>309.22196667184397</v>
      </c>
      <c r="GU25">
        <v>332.53683951661401</v>
      </c>
      <c r="GV25">
        <v>368.26440952246401</v>
      </c>
      <c r="GW25">
        <v>429.43540606708598</v>
      </c>
      <c r="GX25" s="14"/>
      <c r="GY25" s="14"/>
      <c r="HD25">
        <v>1</v>
      </c>
      <c r="HE25">
        <f t="shared" si="29"/>
        <v>1</v>
      </c>
      <c r="HG25">
        <v>1</v>
      </c>
      <c r="HH25">
        <f t="shared" si="30"/>
        <v>1</v>
      </c>
      <c r="HI25" t="str">
        <f t="shared" si="31"/>
        <v/>
      </c>
      <c r="HJ25" t="str">
        <f t="shared" si="6"/>
        <v>Entrenched</v>
      </c>
    </row>
    <row r="26" spans="1:249" x14ac:dyDescent="0.3">
      <c r="A26" s="128" t="s">
        <v>85</v>
      </c>
      <c r="B26" s="3">
        <v>53.5</v>
      </c>
      <c r="C26" s="3"/>
      <c r="D26" s="3"/>
      <c r="E26" s="3"/>
      <c r="F26" s="3"/>
      <c r="G26" s="3"/>
      <c r="H26" s="3"/>
      <c r="I26" s="3"/>
      <c r="J26" s="3"/>
      <c r="K26" s="3"/>
      <c r="L26" s="3"/>
      <c r="M26" s="3">
        <v>0</v>
      </c>
      <c r="N26" s="3">
        <v>0</v>
      </c>
      <c r="O26" s="3">
        <v>0</v>
      </c>
      <c r="P26" s="3">
        <v>0</v>
      </c>
      <c r="Q26" s="3">
        <v>0</v>
      </c>
      <c r="R26" s="3">
        <v>0</v>
      </c>
      <c r="S26" s="3"/>
      <c r="T26" s="3">
        <v>11</v>
      </c>
      <c r="U26" s="3" t="s">
        <v>161</v>
      </c>
      <c r="V26" s="3" t="s">
        <v>161</v>
      </c>
      <c r="W26" s="3">
        <v>290.20999999999998</v>
      </c>
      <c r="X26" s="3">
        <f t="shared" si="11"/>
        <v>0.19143214384146914</v>
      </c>
      <c r="Y26" s="3">
        <v>405.37</v>
      </c>
      <c r="Z26" s="3">
        <f t="shared" si="12"/>
        <v>0.2673955003239597</v>
      </c>
      <c r="AA26" s="3">
        <f t="shared" si="0"/>
        <v>0.45882764416542887</v>
      </c>
      <c r="AB26" s="3">
        <v>6.91</v>
      </c>
      <c r="AC26" s="3">
        <v>438.81</v>
      </c>
      <c r="AD26" s="3">
        <f t="shared" si="13"/>
        <v>0.28945363371033073</v>
      </c>
      <c r="AE26" s="3">
        <v>59.08</v>
      </c>
      <c r="AF26" s="3">
        <f t="shared" si="14"/>
        <v>3.8971128004389913E-2</v>
      </c>
      <c r="AG26" s="3">
        <v>1517</v>
      </c>
      <c r="AH26" s="3" t="s">
        <v>123</v>
      </c>
      <c r="AI26" s="3">
        <v>6</v>
      </c>
      <c r="AJ26" s="3">
        <v>1.03379154205322</v>
      </c>
      <c r="AK26" s="3">
        <v>215</v>
      </c>
      <c r="AL26" s="5">
        <v>24</v>
      </c>
      <c r="AM26" s="5" t="s">
        <v>95</v>
      </c>
      <c r="AN26" s="5" t="s">
        <v>86</v>
      </c>
      <c r="AO26" s="5">
        <v>5</v>
      </c>
      <c r="AP26" s="5">
        <v>0.45</v>
      </c>
      <c r="AQ26" s="3" t="s">
        <v>88</v>
      </c>
      <c r="AR26" s="3" t="s">
        <v>85</v>
      </c>
      <c r="AS26" s="5" t="s">
        <v>0</v>
      </c>
      <c r="AT26" s="3" t="s">
        <v>120</v>
      </c>
      <c r="AU26" s="3" t="s">
        <v>81</v>
      </c>
      <c r="AV26" s="3"/>
      <c r="AW26" s="23" t="s">
        <v>80</v>
      </c>
      <c r="AX26" s="3" t="s">
        <v>130</v>
      </c>
      <c r="AY26" s="23">
        <v>1.28837883472443</v>
      </c>
      <c r="AZ26" s="23"/>
      <c r="BA26" s="59" t="str">
        <f t="shared" si="26"/>
        <v>HE</v>
      </c>
      <c r="BB26" s="23">
        <v>2.8319671154022199</v>
      </c>
      <c r="BC26" s="4">
        <f t="shared" si="27"/>
        <v>2.8</v>
      </c>
      <c r="BD26" s="23" t="b">
        <f t="shared" si="16"/>
        <v>1</v>
      </c>
      <c r="BE26" s="5" t="s">
        <v>90</v>
      </c>
      <c r="BF26" s="5" t="s">
        <v>82</v>
      </c>
      <c r="BG26" s="5">
        <v>138</v>
      </c>
      <c r="BH26" s="3">
        <v>274.64</v>
      </c>
      <c r="BI26" s="3">
        <f t="shared" si="15"/>
        <v>0.18116165530002787</v>
      </c>
      <c r="BJ26" s="3">
        <v>1016.76</v>
      </c>
      <c r="BK26" s="3">
        <f t="shared" si="33"/>
        <v>0.6706886274499575</v>
      </c>
      <c r="BL26" s="56">
        <f t="shared" si="17"/>
        <v>0.85185028274998542</v>
      </c>
      <c r="BM26" s="3" t="s">
        <v>83</v>
      </c>
      <c r="BN26" s="3">
        <v>5.7779999999999996</v>
      </c>
      <c r="BO26" s="3">
        <v>370.30001829999998</v>
      </c>
      <c r="BP26" s="3">
        <f t="shared" si="18"/>
        <v>370.30001829999998</v>
      </c>
      <c r="BQ26" s="57">
        <f t="shared" si="19"/>
        <v>0.12213108846646266</v>
      </c>
      <c r="BR26" s="3">
        <v>370.3</v>
      </c>
      <c r="BS26" s="3">
        <v>0</v>
      </c>
      <c r="BT26" s="3">
        <v>5.7775319999999999</v>
      </c>
      <c r="BU26" s="3">
        <v>0</v>
      </c>
      <c r="BV26" s="3" t="s">
        <v>87</v>
      </c>
      <c r="BW26" s="23" t="s">
        <v>80</v>
      </c>
      <c r="BX26" s="3">
        <v>4.0186915887850496</v>
      </c>
      <c r="BY26" s="170">
        <f t="shared" si="20"/>
        <v>4</v>
      </c>
      <c r="BZ26" s="170">
        <f t="shared" si="7"/>
        <v>0</v>
      </c>
      <c r="CA26" s="170">
        <f t="shared" si="8"/>
        <v>0</v>
      </c>
      <c r="CB26" s="170" t="str">
        <f t="shared" si="9"/>
        <v>.0</v>
      </c>
      <c r="CC26" s="170" t="str">
        <f t="shared" si="10"/>
        <v>4.0</v>
      </c>
      <c r="CD26" s="27"/>
      <c r="CE26" s="109" t="s">
        <v>12</v>
      </c>
      <c r="CF26" s="4">
        <v>27</v>
      </c>
      <c r="CG26" s="95">
        <v>186.477420479231</v>
      </c>
      <c r="CH26" s="4">
        <f t="shared" si="1"/>
        <v>0.46207500000000001</v>
      </c>
      <c r="CI26" s="16">
        <v>1.00168588195909E-2</v>
      </c>
      <c r="CJ26" s="7" t="str">
        <f t="shared" si="21"/>
        <v>SC (4.0)</v>
      </c>
      <c r="CK26" s="3" t="s">
        <v>129</v>
      </c>
      <c r="CL26" s="23">
        <v>1.28837883472443</v>
      </c>
      <c r="CM26" s="4">
        <v>2.8</v>
      </c>
      <c r="CN26" s="149">
        <v>0.85185028274998542</v>
      </c>
      <c r="CO26" s="145" t="str">
        <f t="shared" si="22"/>
        <v>---</v>
      </c>
      <c r="CP26" s="87" t="str">
        <f t="shared" si="23"/>
        <v>---</v>
      </c>
      <c r="CQ26" s="109" t="s">
        <v>12</v>
      </c>
      <c r="CR26" s="5" t="s">
        <v>129</v>
      </c>
      <c r="CS26" s="137">
        <v>0</v>
      </c>
      <c r="CT26" s="95">
        <v>0</v>
      </c>
      <c r="CU26" s="95">
        <v>0</v>
      </c>
      <c r="CV26" s="95">
        <v>0</v>
      </c>
      <c r="CW26" s="95">
        <v>0</v>
      </c>
      <c r="CX26" s="96">
        <v>0</v>
      </c>
      <c r="CY26" s="137">
        <v>1.6951282090299193E-2</v>
      </c>
      <c r="CZ26" s="95">
        <v>1.7010524134508726E-2</v>
      </c>
      <c r="DA26" s="95">
        <v>1.7010524134508726E-2</v>
      </c>
      <c r="DB26" s="95">
        <v>2.35771897021925E-2</v>
      </c>
      <c r="DC26" s="95">
        <v>6.8292551030845861E-2</v>
      </c>
      <c r="DD26" s="96">
        <v>7.5922622519680141E-2</v>
      </c>
      <c r="DE26" s="205">
        <v>247.85238282421699</v>
      </c>
      <c r="DF26" s="3">
        <v>413.392982523059</v>
      </c>
      <c r="DG26" s="3">
        <v>689.44737777226601</v>
      </c>
      <c r="DH26" s="3">
        <v>247.85238282421699</v>
      </c>
      <c r="DI26" s="3">
        <v>413.392982523059</v>
      </c>
      <c r="DJ26" s="3">
        <v>689.44737777226601</v>
      </c>
      <c r="DK26" s="92" t="str">
        <f t="shared" si="34"/>
        <v>Q5</v>
      </c>
      <c r="DL26" s="95">
        <v>190.88595504555801</v>
      </c>
      <c r="DM26" s="95">
        <v>303.646583168061</v>
      </c>
      <c r="DN26" s="95">
        <v>470.55188580220403</v>
      </c>
      <c r="DO26" s="95">
        <v>577.87361741458699</v>
      </c>
      <c r="DP26" s="95">
        <v>672.45679334435999</v>
      </c>
      <c r="DQ26" s="96">
        <v>945.95255906866203</v>
      </c>
      <c r="DR26" t="b">
        <f t="shared" si="24"/>
        <v>1</v>
      </c>
      <c r="DS26" t="s">
        <v>12</v>
      </c>
      <c r="DT26">
        <v>186.477420479231</v>
      </c>
      <c r="EO26" s="163" t="s">
        <v>12</v>
      </c>
      <c r="EP26" s="92" t="str">
        <f t="shared" si="25"/>
        <v>---</v>
      </c>
      <c r="EQ26" s="22" t="b">
        <f t="shared" si="2"/>
        <v>1</v>
      </c>
      <c r="ER26" s="79">
        <v>2.8</v>
      </c>
      <c r="ES26" s="23">
        <v>1.28837883472443</v>
      </c>
      <c r="ET26" s="59" t="str">
        <f t="shared" si="28"/>
        <v>HE</v>
      </c>
      <c r="EU26" s="68" t="s">
        <v>12</v>
      </c>
      <c r="EV26" s="4">
        <v>0.46207500000000001</v>
      </c>
      <c r="EW26" s="16">
        <v>1.00168588195909E-2</v>
      </c>
      <c r="EX26" s="5" t="s">
        <v>31</v>
      </c>
      <c r="EY26" t="s">
        <v>50</v>
      </c>
      <c r="EZ26" s="18" t="s">
        <v>208</v>
      </c>
      <c r="FA26" s="18" t="s">
        <v>208</v>
      </c>
      <c r="FB26" s="5" t="s">
        <v>0</v>
      </c>
      <c r="FC26" s="59" t="s">
        <v>80</v>
      </c>
      <c r="FD26" s="22"/>
      <c r="FE26" s="22"/>
      <c r="FF26" s="11"/>
      <c r="FG26" s="8">
        <v>0.46906541431263299</v>
      </c>
      <c r="FH26" s="9">
        <v>0.443710021274968</v>
      </c>
      <c r="FI26" s="9">
        <v>0.39931814134792498</v>
      </c>
      <c r="FJ26" s="9">
        <v>0.38503037531996298</v>
      </c>
      <c r="FK26" s="9">
        <v>0.43959667491857102</v>
      </c>
      <c r="FL26" s="10">
        <v>0.43703844362157701</v>
      </c>
      <c r="FM26" s="14"/>
      <c r="FN26" s="3">
        <v>462.07499999999999</v>
      </c>
      <c r="FO26" s="5">
        <v>5</v>
      </c>
      <c r="FP26" s="5" t="str">
        <f t="shared" si="3"/>
        <v>Q5</v>
      </c>
      <c r="FQ26" s="5">
        <v>0</v>
      </c>
      <c r="FR26" s="5"/>
      <c r="FS26" s="5"/>
      <c r="FT26" s="5"/>
      <c r="FU26" s="68" t="s">
        <v>12</v>
      </c>
      <c r="FV26" s="5"/>
      <c r="FW26" s="5" t="str">
        <f t="shared" si="4"/>
        <v>---</v>
      </c>
      <c r="FX26" s="5"/>
      <c r="FY26" s="5" t="str">
        <f t="shared" si="4"/>
        <v>---</v>
      </c>
      <c r="FZ26" s="5"/>
      <c r="GA26" s="4">
        <v>0</v>
      </c>
      <c r="GB26" s="5"/>
      <c r="GC26" s="4" t="str">
        <f t="shared" si="5"/>
        <v>na</v>
      </c>
      <c r="GE26" t="s">
        <v>12</v>
      </c>
      <c r="GF26">
        <v>190.88595504555801</v>
      </c>
      <c r="GG26">
        <v>303.646583168061</v>
      </c>
      <c r="GH26">
        <v>470.55188580220403</v>
      </c>
      <c r="GI26">
        <v>577.87361741458699</v>
      </c>
      <c r="GJ26">
        <v>672.45679334435999</v>
      </c>
      <c r="GK26">
        <v>945.95255906866203</v>
      </c>
      <c r="GL26" s="19"/>
      <c r="GM26" s="14"/>
      <c r="GN26" s="15">
        <v>1.00168588195909E-2</v>
      </c>
      <c r="GO26">
        <v>247.85238282421699</v>
      </c>
      <c r="GP26">
        <v>413.392982523059</v>
      </c>
      <c r="GQ26">
        <v>689.44737777226601</v>
      </c>
      <c r="GR26">
        <v>162.38238942481999</v>
      </c>
      <c r="GS26">
        <v>248.95890546577999</v>
      </c>
      <c r="GT26">
        <v>368.41686317630501</v>
      </c>
      <c r="GU26">
        <v>433.58977955778602</v>
      </c>
      <c r="GV26">
        <v>460.765652337007</v>
      </c>
      <c r="GW26">
        <v>592.81221505351198</v>
      </c>
      <c r="GX26" s="14"/>
      <c r="GY26" s="14"/>
      <c r="HD26">
        <v>1</v>
      </c>
      <c r="HE26">
        <f t="shared" si="29"/>
        <v>1</v>
      </c>
      <c r="HG26">
        <v>1</v>
      </c>
      <c r="HH26">
        <f t="shared" si="30"/>
        <v>1</v>
      </c>
      <c r="HI26" t="str">
        <f t="shared" si="31"/>
        <v/>
      </c>
      <c r="HJ26" t="str">
        <f t="shared" si="6"/>
        <v>Entrenched</v>
      </c>
    </row>
    <row r="27" spans="1:249" x14ac:dyDescent="0.3">
      <c r="A27" s="128" t="s">
        <v>85</v>
      </c>
      <c r="B27" s="3">
        <v>52.75</v>
      </c>
      <c r="C27" s="3"/>
      <c r="D27" s="3"/>
      <c r="E27" s="3"/>
      <c r="F27" s="3"/>
      <c r="G27" s="3"/>
      <c r="H27" s="3"/>
      <c r="I27" s="3"/>
      <c r="J27" s="3"/>
      <c r="K27" s="3"/>
      <c r="L27" s="3"/>
      <c r="M27" s="3">
        <v>0</v>
      </c>
      <c r="N27" s="3">
        <v>0</v>
      </c>
      <c r="O27" s="3">
        <v>0</v>
      </c>
      <c r="P27" s="3">
        <v>0</v>
      </c>
      <c r="Q27" s="3">
        <v>0</v>
      </c>
      <c r="R27" s="3">
        <v>0</v>
      </c>
      <c r="S27" s="3">
        <v>5.0999999999999996</v>
      </c>
      <c r="T27" s="3">
        <v>16</v>
      </c>
      <c r="U27" s="3" t="s">
        <v>85</v>
      </c>
      <c r="V27" s="3" t="s">
        <v>164</v>
      </c>
      <c r="W27" s="3">
        <v>0</v>
      </c>
      <c r="X27" s="3">
        <f t="shared" si="11"/>
        <v>0</v>
      </c>
      <c r="Y27" s="3">
        <v>177.13</v>
      </c>
      <c r="Z27" s="3">
        <f t="shared" si="12"/>
        <v>4.7940563074790103E-2</v>
      </c>
      <c r="AA27" s="3">
        <f t="shared" si="0"/>
        <v>4.7940563074790103E-2</v>
      </c>
      <c r="AB27" s="3">
        <v>5.0999999999999996</v>
      </c>
      <c r="AC27" s="3">
        <v>0</v>
      </c>
      <c r="AD27" s="3">
        <f t="shared" si="13"/>
        <v>0</v>
      </c>
      <c r="AE27" s="3">
        <v>0</v>
      </c>
      <c r="AF27" s="3">
        <f t="shared" si="14"/>
        <v>0</v>
      </c>
      <c r="AG27" s="3">
        <v>3912</v>
      </c>
      <c r="AH27" s="3" t="s">
        <v>132</v>
      </c>
      <c r="AI27" s="3">
        <v>12</v>
      </c>
      <c r="AJ27" s="3">
        <v>1.0698925256729099</v>
      </c>
      <c r="AK27" s="3">
        <v>228</v>
      </c>
      <c r="AL27" s="5">
        <v>9</v>
      </c>
      <c r="AM27" s="5" t="s">
        <v>85</v>
      </c>
      <c r="AN27" s="5" t="s">
        <v>81</v>
      </c>
      <c r="AO27" s="5">
        <v>17</v>
      </c>
      <c r="AP27" s="5">
        <v>0.73750000000000004</v>
      </c>
      <c r="AQ27" s="3" t="s">
        <v>88</v>
      </c>
      <c r="AR27" s="3" t="s">
        <v>85</v>
      </c>
      <c r="AS27" s="5" t="s">
        <v>5</v>
      </c>
      <c r="AT27" s="3" t="s">
        <v>126</v>
      </c>
      <c r="AU27" s="3" t="s">
        <v>81</v>
      </c>
      <c r="AV27" s="3"/>
      <c r="AW27" s="23" t="s">
        <v>88</v>
      </c>
      <c r="AX27" s="3" t="s">
        <v>130</v>
      </c>
      <c r="AY27" s="23">
        <v>1.4666666984558101</v>
      </c>
      <c r="AZ27" s="23"/>
      <c r="BA27" s="58" t="str">
        <f t="shared" si="26"/>
        <v>ME</v>
      </c>
      <c r="BB27" s="23">
        <v>1</v>
      </c>
      <c r="BC27" s="4">
        <f t="shared" si="27"/>
        <v>1</v>
      </c>
      <c r="BD27" s="23" t="b">
        <f t="shared" si="16"/>
        <v>0</v>
      </c>
      <c r="BE27" s="5" t="s">
        <v>99</v>
      </c>
      <c r="BF27" s="5" t="s">
        <v>99</v>
      </c>
      <c r="BG27" s="5">
        <v>228</v>
      </c>
      <c r="BH27" s="3">
        <v>693.2</v>
      </c>
      <c r="BI27" s="3">
        <f t="shared" si="15"/>
        <v>0.18761586588067805</v>
      </c>
      <c r="BJ27" s="3">
        <v>0</v>
      </c>
      <c r="BK27" s="3">
        <f t="shared" si="33"/>
        <v>0</v>
      </c>
      <c r="BL27" s="56">
        <f t="shared" si="17"/>
        <v>0.18761586588067805</v>
      </c>
      <c r="BM27" s="3" t="s">
        <v>160</v>
      </c>
      <c r="BN27" s="3">
        <v>5.1470000000000002</v>
      </c>
      <c r="BO27" s="3">
        <v>1093.9300536999999</v>
      </c>
      <c r="BP27" s="3">
        <f t="shared" si="18"/>
        <v>208.05</v>
      </c>
      <c r="BQ27" s="57">
        <f t="shared" si="19"/>
        <v>2.8154559215576361E-2</v>
      </c>
      <c r="BR27" s="3">
        <v>75.47</v>
      </c>
      <c r="BS27" s="3">
        <v>132.58000000000001</v>
      </c>
      <c r="BT27" s="3">
        <v>5</v>
      </c>
      <c r="BU27" s="3">
        <v>9</v>
      </c>
      <c r="BV27" s="3" t="s">
        <v>92</v>
      </c>
      <c r="BW27" s="23" t="s">
        <v>88</v>
      </c>
      <c r="BX27" s="3">
        <v>4.3222748815165897</v>
      </c>
      <c r="BY27" s="170">
        <f t="shared" si="20"/>
        <v>4.3</v>
      </c>
      <c r="BZ27" s="170">
        <f t="shared" si="7"/>
        <v>0</v>
      </c>
      <c r="CA27" s="170">
        <f t="shared" si="8"/>
        <v>0.29999999999999982</v>
      </c>
      <c r="CB27" s="170" t="str">
        <f t="shared" si="9"/>
        <v/>
      </c>
      <c r="CC27" s="170" t="str">
        <f t="shared" si="10"/>
        <v>4.3</v>
      </c>
      <c r="CD27" s="27"/>
      <c r="CE27" s="109" t="s">
        <v>13</v>
      </c>
      <c r="CF27" s="4">
        <v>19.2</v>
      </c>
      <c r="CG27" s="95">
        <v>195.184631545531</v>
      </c>
      <c r="CH27" s="4">
        <f t="shared" si="1"/>
        <v>1.1261700000000001</v>
      </c>
      <c r="CI27" s="16">
        <v>1.7536097311226798E-2</v>
      </c>
      <c r="CJ27" s="7" t="str">
        <f t="shared" si="21"/>
        <v>NW (4.3)</v>
      </c>
      <c r="CK27" s="3" t="s">
        <v>129</v>
      </c>
      <c r="CL27" s="23">
        <v>1.4666666984558101</v>
      </c>
      <c r="CM27" s="4">
        <v>1</v>
      </c>
      <c r="CN27" s="148">
        <v>0.18761586588067805</v>
      </c>
      <c r="CO27" s="145" t="str">
        <f t="shared" si="22"/>
        <v>---</v>
      </c>
      <c r="CP27" s="87" t="str">
        <f t="shared" si="23"/>
        <v>---</v>
      </c>
      <c r="CQ27" s="109" t="s">
        <v>13</v>
      </c>
      <c r="CR27" s="5" t="s">
        <v>129</v>
      </c>
      <c r="CS27" s="137">
        <v>0</v>
      </c>
      <c r="CT27" s="95">
        <v>0</v>
      </c>
      <c r="CU27" s="95">
        <v>0</v>
      </c>
      <c r="CV27" s="95">
        <v>0</v>
      </c>
      <c r="CW27" s="95">
        <v>0</v>
      </c>
      <c r="CX27" s="96">
        <v>0</v>
      </c>
      <c r="CY27" s="137">
        <v>3.650773061179538E-2</v>
      </c>
      <c r="CZ27" s="95">
        <v>3.7298503393276498E-2</v>
      </c>
      <c r="DA27" s="95">
        <v>3.7862017815707749E-2</v>
      </c>
      <c r="DB27" s="95">
        <v>3.8301905376251007E-2</v>
      </c>
      <c r="DC27" s="95">
        <v>3.8789818094390097E-2</v>
      </c>
      <c r="DD27" s="96">
        <v>4.6076665987858666E-2</v>
      </c>
      <c r="DE27" s="205">
        <v>295.70855496693298</v>
      </c>
      <c r="DF27" s="3">
        <v>507.11232712224</v>
      </c>
      <c r="DG27" s="3">
        <v>747.56662069768095</v>
      </c>
      <c r="DH27" s="3">
        <v>295.70855496693298</v>
      </c>
      <c r="DI27" s="3">
        <v>507.11232712224</v>
      </c>
      <c r="DJ27" s="3">
        <v>747.56662069768095</v>
      </c>
      <c r="DK27" s="92" t="str">
        <f t="shared" si="34"/>
        <v>Q2</v>
      </c>
      <c r="DL27" s="95">
        <v>366.890799174032</v>
      </c>
      <c r="DM27" s="95">
        <v>532.34224190334396</v>
      </c>
      <c r="DN27" s="95">
        <v>788.24773146305495</v>
      </c>
      <c r="DO27" s="95">
        <v>931.28795282121405</v>
      </c>
      <c r="DP27" s="95">
        <v>1082.0503129558499</v>
      </c>
      <c r="DQ27" s="96">
        <v>1559.1240895931601</v>
      </c>
      <c r="DR27" t="b">
        <f t="shared" si="24"/>
        <v>1</v>
      </c>
      <c r="DS27" t="s">
        <v>13</v>
      </c>
      <c r="DT27">
        <v>195.184631545531</v>
      </c>
      <c r="EO27" s="163" t="s">
        <v>13</v>
      </c>
      <c r="EP27" s="92" t="str">
        <f t="shared" si="25"/>
        <v>---</v>
      </c>
      <c r="EQ27" s="22" t="b">
        <f t="shared" si="2"/>
        <v>1</v>
      </c>
      <c r="ER27" s="4">
        <v>1</v>
      </c>
      <c r="ES27" s="23">
        <v>1.4666666984558101</v>
      </c>
      <c r="ET27" s="58" t="str">
        <f t="shared" si="28"/>
        <v>ME</v>
      </c>
      <c r="EU27" s="68" t="s">
        <v>13</v>
      </c>
      <c r="EV27" s="4">
        <v>1.1261700000000001</v>
      </c>
      <c r="EW27" s="16">
        <v>1.7536097311226798E-2</v>
      </c>
      <c r="EX27" s="5" t="s">
        <v>30</v>
      </c>
      <c r="EY27" t="s">
        <v>50</v>
      </c>
      <c r="EZ27" s="18" t="s">
        <v>208</v>
      </c>
      <c r="FA27" s="18" t="s">
        <v>208</v>
      </c>
      <c r="FB27" s="5" t="s">
        <v>5</v>
      </c>
      <c r="FC27" s="23" t="s">
        <v>88</v>
      </c>
      <c r="FD27" s="22"/>
      <c r="FE27" s="22"/>
      <c r="FF27" s="11"/>
      <c r="FG27" s="8">
        <v>0.47429801799627902</v>
      </c>
      <c r="FH27" s="9">
        <v>0.488170572706081</v>
      </c>
      <c r="FI27" s="9">
        <v>0.50007103189730095</v>
      </c>
      <c r="FJ27" s="9">
        <v>0.50182692247217198</v>
      </c>
      <c r="FK27" s="9">
        <v>0.50570147760248196</v>
      </c>
      <c r="FL27" s="10">
        <v>0.54025049608106201</v>
      </c>
      <c r="FM27" s="14"/>
      <c r="FN27" s="3">
        <v>1126.17</v>
      </c>
      <c r="FO27" s="5">
        <v>2</v>
      </c>
      <c r="FP27" s="5" t="str">
        <f t="shared" si="3"/>
        <v>Q2</v>
      </c>
      <c r="FQ27" s="5">
        <v>0</v>
      </c>
      <c r="FR27" s="5"/>
      <c r="FS27" s="5"/>
      <c r="FT27" s="5"/>
      <c r="FU27" s="68" t="s">
        <v>13</v>
      </c>
      <c r="FV27" s="5"/>
      <c r="FW27" s="5" t="str">
        <f t="shared" si="4"/>
        <v>---</v>
      </c>
      <c r="FX27" s="5"/>
      <c r="FY27" s="5" t="str">
        <f t="shared" si="4"/>
        <v>---</v>
      </c>
      <c r="FZ27" s="5"/>
      <c r="GA27" s="4">
        <v>0</v>
      </c>
      <c r="GB27" s="5"/>
      <c r="GC27" s="4" t="str">
        <f t="shared" si="5"/>
        <v>na</v>
      </c>
      <c r="GE27" t="s">
        <v>13</v>
      </c>
      <c r="GF27">
        <v>366.890799174032</v>
      </c>
      <c r="GG27">
        <v>532.34224190334396</v>
      </c>
      <c r="GH27">
        <v>788.24773146305495</v>
      </c>
      <c r="GI27">
        <v>931.28795282121405</v>
      </c>
      <c r="GJ27">
        <v>1082.0503129558499</v>
      </c>
      <c r="GK27">
        <v>1559.1240895931601</v>
      </c>
      <c r="GL27" s="19"/>
      <c r="GM27" s="14"/>
      <c r="GN27" s="15">
        <v>1.7536097311226798E-2</v>
      </c>
      <c r="GO27">
        <v>295.70855496693298</v>
      </c>
      <c r="GP27">
        <v>507.11232712224</v>
      </c>
      <c r="GQ27">
        <v>747.56662069768095</v>
      </c>
      <c r="GR27">
        <v>269.13037377019401</v>
      </c>
      <c r="GS27">
        <v>374.61986231115998</v>
      </c>
      <c r="GT27">
        <v>526.07129688720102</v>
      </c>
      <c r="GU27">
        <v>605.85439454197399</v>
      </c>
      <c r="GV27">
        <v>685.50944910557496</v>
      </c>
      <c r="GW27">
        <v>900.05605410562202</v>
      </c>
      <c r="GX27" s="14"/>
      <c r="GY27" s="14"/>
      <c r="HD27">
        <v>1</v>
      </c>
      <c r="HE27">
        <f t="shared" si="29"/>
        <v>1</v>
      </c>
      <c r="HG27">
        <v>1</v>
      </c>
      <c r="HH27">
        <f t="shared" si="30"/>
        <v>1</v>
      </c>
      <c r="HI27" t="str">
        <f t="shared" si="31"/>
        <v/>
      </c>
      <c r="HJ27" t="str">
        <f t="shared" si="6"/>
        <v>Entrenched</v>
      </c>
    </row>
    <row r="28" spans="1:249" x14ac:dyDescent="0.3">
      <c r="A28" s="128" t="s">
        <v>85</v>
      </c>
      <c r="B28" s="3">
        <v>52.75</v>
      </c>
      <c r="C28" s="3"/>
      <c r="D28" s="3"/>
      <c r="E28" s="3"/>
      <c r="F28" s="3"/>
      <c r="G28" s="3"/>
      <c r="H28" s="3"/>
      <c r="I28" s="3"/>
      <c r="J28" s="3"/>
      <c r="K28" s="3"/>
      <c r="L28" s="3"/>
      <c r="M28" s="3">
        <v>0</v>
      </c>
      <c r="N28" s="3">
        <v>0</v>
      </c>
      <c r="O28" s="3">
        <v>0</v>
      </c>
      <c r="P28" s="3">
        <v>0</v>
      </c>
      <c r="Q28" s="3">
        <v>0</v>
      </c>
      <c r="R28" s="3">
        <v>0</v>
      </c>
      <c r="S28" s="3"/>
      <c r="T28" s="3">
        <v>13</v>
      </c>
      <c r="U28" s="3" t="s">
        <v>85</v>
      </c>
      <c r="V28" s="3" t="s">
        <v>85</v>
      </c>
      <c r="W28" s="3">
        <v>0</v>
      </c>
      <c r="X28" s="3">
        <f t="shared" si="11"/>
        <v>0</v>
      </c>
      <c r="Y28" s="3">
        <v>0</v>
      </c>
      <c r="Z28" s="3">
        <f t="shared" si="12"/>
        <v>0</v>
      </c>
      <c r="AA28" s="3">
        <f t="shared" si="0"/>
        <v>0</v>
      </c>
      <c r="AB28" s="3">
        <v>5.3</v>
      </c>
      <c r="AC28" s="3">
        <v>0</v>
      </c>
      <c r="AD28" s="3">
        <f t="shared" si="13"/>
        <v>0</v>
      </c>
      <c r="AE28" s="3">
        <v>0</v>
      </c>
      <c r="AF28" s="3">
        <f t="shared" si="14"/>
        <v>0</v>
      </c>
      <c r="AG28" s="3">
        <v>2370</v>
      </c>
      <c r="AH28" s="3" t="s">
        <v>132</v>
      </c>
      <c r="AI28" s="3">
        <v>11</v>
      </c>
      <c r="AJ28" s="3">
        <v>1.0698925256729099</v>
      </c>
      <c r="AK28" s="3">
        <v>228</v>
      </c>
      <c r="AL28" s="5">
        <v>9</v>
      </c>
      <c r="AM28" s="5" t="s">
        <v>85</v>
      </c>
      <c r="AN28" s="5" t="s">
        <v>81</v>
      </c>
      <c r="AO28" s="5">
        <v>16</v>
      </c>
      <c r="AP28" s="5">
        <v>0.63749999999999996</v>
      </c>
      <c r="AQ28" s="3" t="s">
        <v>88</v>
      </c>
      <c r="AR28" s="3" t="s">
        <v>125</v>
      </c>
      <c r="AS28" s="5" t="s">
        <v>1</v>
      </c>
      <c r="AT28" s="3" t="s">
        <v>126</v>
      </c>
      <c r="AU28" s="3" t="s">
        <v>81</v>
      </c>
      <c r="AV28" s="3"/>
      <c r="AW28" s="23" t="s">
        <v>88</v>
      </c>
      <c r="AX28" s="3" t="s">
        <v>130</v>
      </c>
      <c r="AY28" s="23">
        <v>2.7868852615356401</v>
      </c>
      <c r="AZ28" s="23"/>
      <c r="BA28" s="28" t="str">
        <f t="shared" si="26"/>
        <v>NE</v>
      </c>
      <c r="BB28" s="23">
        <v>1.2325581312179601</v>
      </c>
      <c r="BC28" s="4">
        <f t="shared" si="27"/>
        <v>1.2</v>
      </c>
      <c r="BD28" s="23" t="b">
        <f t="shared" si="16"/>
        <v>0</v>
      </c>
      <c r="BE28" s="5" t="s">
        <v>99</v>
      </c>
      <c r="BF28" s="5" t="s">
        <v>99</v>
      </c>
      <c r="BG28" s="5">
        <v>350</v>
      </c>
      <c r="BH28" s="3">
        <v>0</v>
      </c>
      <c r="BI28" s="3">
        <f t="shared" si="15"/>
        <v>0</v>
      </c>
      <c r="BJ28" s="3">
        <v>0</v>
      </c>
      <c r="BK28" s="3">
        <f t="shared" si="33"/>
        <v>0</v>
      </c>
      <c r="BL28" s="56">
        <f t="shared" si="17"/>
        <v>0</v>
      </c>
      <c r="BM28" s="3" t="s">
        <v>162</v>
      </c>
      <c r="BN28" s="3">
        <v>5.1470000000000002</v>
      </c>
      <c r="BO28" s="3">
        <v>1093.9300536999999</v>
      </c>
      <c r="BP28" s="3">
        <f t="shared" si="18"/>
        <v>806.18999999999994</v>
      </c>
      <c r="BQ28" s="57">
        <f t="shared" si="19"/>
        <v>0.17486060465624834</v>
      </c>
      <c r="BR28" s="3">
        <v>210.38</v>
      </c>
      <c r="BS28" s="3">
        <v>595.80999999999995</v>
      </c>
      <c r="BT28" s="3">
        <v>4</v>
      </c>
      <c r="BU28" s="3">
        <v>5</v>
      </c>
      <c r="BV28" s="3" t="s">
        <v>87</v>
      </c>
      <c r="BW28" s="23" t="s">
        <v>88</v>
      </c>
      <c r="BX28" s="3">
        <v>4.3222748815165897</v>
      </c>
      <c r="BY28" s="170">
        <f t="shared" si="20"/>
        <v>4.3</v>
      </c>
      <c r="BZ28" s="170">
        <f t="shared" si="7"/>
        <v>0</v>
      </c>
      <c r="CA28" s="170">
        <f t="shared" si="8"/>
        <v>0.29999999999999982</v>
      </c>
      <c r="CB28" s="170" t="str">
        <f t="shared" si="9"/>
        <v/>
      </c>
      <c r="CC28" s="170" t="str">
        <f t="shared" si="10"/>
        <v>4.3</v>
      </c>
      <c r="CD28" s="27"/>
      <c r="CE28" s="109" t="s">
        <v>14</v>
      </c>
      <c r="CF28" s="4">
        <v>18.2</v>
      </c>
      <c r="CG28" s="95">
        <v>210.096612540671</v>
      </c>
      <c r="CH28" s="4">
        <f t="shared" si="1"/>
        <v>0.70263599999999993</v>
      </c>
      <c r="CI28" s="16">
        <v>1.0608506334761099E-2</v>
      </c>
      <c r="CJ28" s="7" t="str">
        <f t="shared" si="21"/>
        <v>NW (4.3)</v>
      </c>
      <c r="CK28" s="3" t="s">
        <v>129</v>
      </c>
      <c r="CL28" s="23">
        <v>2.7868852615356401</v>
      </c>
      <c r="CM28" s="4">
        <v>1.2</v>
      </c>
      <c r="CN28" s="148">
        <v>0</v>
      </c>
      <c r="CO28" s="145" t="str">
        <f t="shared" si="22"/>
        <v>Q500</v>
      </c>
      <c r="CP28" s="87" t="str">
        <f t="shared" si="23"/>
        <v>---</v>
      </c>
      <c r="CQ28" s="109" t="s">
        <v>14</v>
      </c>
      <c r="CR28" s="5" t="s">
        <v>129</v>
      </c>
      <c r="CS28" s="137">
        <v>0</v>
      </c>
      <c r="CT28" s="95">
        <v>0</v>
      </c>
      <c r="CU28" s="95">
        <v>0</v>
      </c>
      <c r="CV28" s="95">
        <v>0</v>
      </c>
      <c r="CW28" s="95">
        <v>0</v>
      </c>
      <c r="CX28" s="96">
        <v>2.5774369659396901</v>
      </c>
      <c r="CY28" s="137">
        <v>5.02909903884384E-2</v>
      </c>
      <c r="CZ28" s="95">
        <v>9.185435045539056E-2</v>
      </c>
      <c r="DA28" s="95">
        <v>0.27156843899213251</v>
      </c>
      <c r="DB28" s="95">
        <v>0.52921241454344503</v>
      </c>
      <c r="DC28" s="95">
        <v>0.87231239506119818</v>
      </c>
      <c r="DD28" s="96">
        <v>0.96151196953037699</v>
      </c>
      <c r="DE28" s="205">
        <v>530.32655941708003</v>
      </c>
      <c r="DF28" s="3">
        <v>732.95979062839297</v>
      </c>
      <c r="DG28" s="3">
        <v>1012.98408663825</v>
      </c>
      <c r="DH28" s="3">
        <v>530.32655941708003</v>
      </c>
      <c r="DI28" s="3">
        <v>732.95979062839297</v>
      </c>
      <c r="DJ28" s="3">
        <v>1012.98408663825</v>
      </c>
      <c r="DK28" s="92" t="str">
        <f t="shared" si="34"/>
        <v>Q500</v>
      </c>
      <c r="DL28" s="95">
        <v>132.64710350681199</v>
      </c>
      <c r="DM28" s="95">
        <v>200.119378491334</v>
      </c>
      <c r="DN28" s="95">
        <v>299.78475865686198</v>
      </c>
      <c r="DO28" s="95">
        <v>349.943254373466</v>
      </c>
      <c r="DP28" s="95">
        <v>410.34199234563999</v>
      </c>
      <c r="DQ28" s="96">
        <v>562.54234753856201</v>
      </c>
      <c r="DR28" t="b">
        <f t="shared" si="24"/>
        <v>1</v>
      </c>
      <c r="DS28" t="s">
        <v>14</v>
      </c>
      <c r="DT28">
        <v>210.096612540671</v>
      </c>
      <c r="EO28" s="163" t="s">
        <v>14</v>
      </c>
      <c r="EP28" s="92" t="str">
        <f t="shared" si="25"/>
        <v>Q500</v>
      </c>
      <c r="EQ28" s="22" t="b">
        <f t="shared" si="2"/>
        <v>1</v>
      </c>
      <c r="ER28" s="4">
        <v>1.2</v>
      </c>
      <c r="ES28" s="23">
        <v>2.7868852615356401</v>
      </c>
      <c r="ET28" s="28" t="str">
        <f t="shared" si="28"/>
        <v>NE</v>
      </c>
      <c r="EU28" s="68" t="s">
        <v>14</v>
      </c>
      <c r="EV28" s="4">
        <v>0.70263599999999993</v>
      </c>
      <c r="EW28" s="16">
        <v>1.0608506334761099E-2</v>
      </c>
      <c r="EX28" s="5" t="s">
        <v>35</v>
      </c>
      <c r="EY28" t="s">
        <v>35</v>
      </c>
      <c r="EZ28" s="18" t="s">
        <v>208</v>
      </c>
      <c r="FA28" s="18" t="s">
        <v>208</v>
      </c>
      <c r="FB28" s="5" t="s">
        <v>1</v>
      </c>
      <c r="FC28" s="23" t="s">
        <v>88</v>
      </c>
      <c r="FD28" s="22"/>
      <c r="FE28" s="22"/>
      <c r="FF28" s="11"/>
      <c r="FG28" s="8">
        <v>0.77704507616280705</v>
      </c>
      <c r="FH28" s="9">
        <v>0.88732506256161003</v>
      </c>
      <c r="FI28" s="9">
        <v>1.1939315859750701</v>
      </c>
      <c r="FJ28" s="9">
        <v>1.52269118025206</v>
      </c>
      <c r="FK28" s="9">
        <v>1.9267692127114899</v>
      </c>
      <c r="FL28" s="10">
        <v>2.11908060154511</v>
      </c>
      <c r="FM28" s="14"/>
      <c r="FN28" s="3">
        <v>702.63599999999997</v>
      </c>
      <c r="FO28" s="5">
        <v>500</v>
      </c>
      <c r="FP28" s="5" t="str">
        <f t="shared" si="3"/>
        <v>Q500</v>
      </c>
      <c r="FQ28" s="5">
        <v>2776</v>
      </c>
      <c r="FR28" s="5">
        <v>2776</v>
      </c>
      <c r="FS28" s="5">
        <v>500</v>
      </c>
      <c r="FT28" s="5" t="str">
        <f>IF(ISBLANK(FS28),"na",CONCATENATE("Q",FS28))</f>
        <v>Q500</v>
      </c>
      <c r="FU28" s="68" t="s">
        <v>14</v>
      </c>
      <c r="FV28" s="5">
        <v>500</v>
      </c>
      <c r="FW28" s="5" t="str">
        <f t="shared" si="4"/>
        <v>Q500</v>
      </c>
      <c r="FX28" s="5"/>
      <c r="FY28" s="5" t="str">
        <f t="shared" si="4"/>
        <v>---</v>
      </c>
      <c r="FZ28" s="5">
        <v>2E-3</v>
      </c>
      <c r="GA28" s="4">
        <v>3.9508365640246099</v>
      </c>
      <c r="GB28" s="5">
        <v>3.9508365640246099</v>
      </c>
      <c r="GC28" s="4">
        <f t="shared" si="5"/>
        <v>3.9508365640246099</v>
      </c>
      <c r="GE28" t="s">
        <v>14</v>
      </c>
      <c r="GF28">
        <v>132.64710350681199</v>
      </c>
      <c r="GG28">
        <v>200.119378491334</v>
      </c>
      <c r="GH28">
        <v>299.78475865686198</v>
      </c>
      <c r="GI28">
        <v>349.943254373466</v>
      </c>
      <c r="GJ28">
        <v>410.34199234563999</v>
      </c>
      <c r="GK28">
        <v>562.54234753856201</v>
      </c>
      <c r="GL28" s="19"/>
      <c r="GM28" s="14"/>
      <c r="GN28" s="15">
        <v>1.0608506334761099E-2</v>
      </c>
      <c r="GO28">
        <v>530.32655941708003</v>
      </c>
      <c r="GP28">
        <v>732.95979062839297</v>
      </c>
      <c r="GQ28">
        <v>1012.98408663825</v>
      </c>
      <c r="GR28">
        <v>103.721485267152</v>
      </c>
      <c r="GS28">
        <v>141.72707162456001</v>
      </c>
      <c r="GT28">
        <v>185.78139068772299</v>
      </c>
      <c r="GU28">
        <v>203.602563784491</v>
      </c>
      <c r="GV28">
        <v>227.90599276967899</v>
      </c>
      <c r="GW28">
        <v>263.26194121935998</v>
      </c>
      <c r="GX28" s="14"/>
      <c r="GY28" s="14"/>
      <c r="HE28" t="str">
        <f t="shared" si="29"/>
        <v/>
      </c>
      <c r="HH28">
        <f t="shared" si="30"/>
        <v>0</v>
      </c>
      <c r="HI28" t="str">
        <f t="shared" si="31"/>
        <v/>
      </c>
      <c r="HJ28" t="str">
        <f t="shared" si="6"/>
        <v>Entrenched</v>
      </c>
    </row>
    <row r="29" spans="1:249" x14ac:dyDescent="0.3">
      <c r="A29" s="128" t="s">
        <v>85</v>
      </c>
      <c r="B29" s="3">
        <v>52.75</v>
      </c>
      <c r="C29" s="3"/>
      <c r="D29" s="3"/>
      <c r="E29" s="3"/>
      <c r="F29" s="3"/>
      <c r="G29" s="3"/>
      <c r="H29" s="3"/>
      <c r="I29" s="3"/>
      <c r="J29" s="3"/>
      <c r="K29" s="3"/>
      <c r="L29" s="3"/>
      <c r="M29" s="3">
        <v>0</v>
      </c>
      <c r="N29" s="3">
        <v>0</v>
      </c>
      <c r="O29" s="3">
        <v>0</v>
      </c>
      <c r="P29" s="3">
        <v>0</v>
      </c>
      <c r="Q29" s="3">
        <v>0</v>
      </c>
      <c r="R29" s="3">
        <v>0</v>
      </c>
      <c r="S29" s="3">
        <v>7.2</v>
      </c>
      <c r="T29" s="3">
        <v>14</v>
      </c>
      <c r="U29" s="3" t="s">
        <v>161</v>
      </c>
      <c r="V29" s="3" t="s">
        <v>161</v>
      </c>
      <c r="W29" s="3">
        <v>91.64</v>
      </c>
      <c r="X29" s="3">
        <f t="shared" si="11"/>
        <v>2.5797395457398405E-2</v>
      </c>
      <c r="Y29" s="3">
        <v>92.72</v>
      </c>
      <c r="Z29" s="3">
        <f t="shared" si="12"/>
        <v>2.6101424124945222E-2</v>
      </c>
      <c r="AA29" s="3">
        <f t="shared" si="0"/>
        <v>5.189881958234363E-2</v>
      </c>
      <c r="AB29" s="3">
        <v>7.2</v>
      </c>
      <c r="AC29" s="3">
        <v>546.82000000000005</v>
      </c>
      <c r="AD29" s="3">
        <f t="shared" si="13"/>
        <v>0.15393421850736139</v>
      </c>
      <c r="AE29" s="3">
        <v>0</v>
      </c>
      <c r="AF29" s="3">
        <f t="shared" si="14"/>
        <v>0</v>
      </c>
      <c r="AG29" s="3">
        <v>3270</v>
      </c>
      <c r="AH29" s="3" t="s">
        <v>132</v>
      </c>
      <c r="AI29" s="3">
        <v>13</v>
      </c>
      <c r="AJ29" s="3">
        <v>1.0698925256729099</v>
      </c>
      <c r="AK29" s="3">
        <v>228</v>
      </c>
      <c r="AL29" s="5">
        <v>9</v>
      </c>
      <c r="AM29" s="5" t="s">
        <v>85</v>
      </c>
      <c r="AN29" s="5" t="s">
        <v>81</v>
      </c>
      <c r="AO29" s="5">
        <v>12</v>
      </c>
      <c r="AP29" s="5">
        <v>0.6875</v>
      </c>
      <c r="AQ29" s="3" t="s">
        <v>88</v>
      </c>
      <c r="AR29" s="3" t="s">
        <v>85</v>
      </c>
      <c r="AS29" s="5" t="s">
        <v>5</v>
      </c>
      <c r="AT29" s="3" t="s">
        <v>126</v>
      </c>
      <c r="AU29" s="3" t="s">
        <v>81</v>
      </c>
      <c r="AV29" s="3"/>
      <c r="AW29" s="23" t="s">
        <v>88</v>
      </c>
      <c r="AX29" s="3" t="s">
        <v>130</v>
      </c>
      <c r="AY29" s="23">
        <v>2.2178218364715598</v>
      </c>
      <c r="AZ29" s="23"/>
      <c r="BA29" s="28" t="str">
        <f t="shared" si="26"/>
        <v>NE</v>
      </c>
      <c r="BB29" s="23">
        <v>1.6744184494018599</v>
      </c>
      <c r="BC29" s="4">
        <f t="shared" si="27"/>
        <v>1.7</v>
      </c>
      <c r="BD29" s="23" t="b">
        <f t="shared" si="16"/>
        <v>1</v>
      </c>
      <c r="BE29" s="5" t="s">
        <v>99</v>
      </c>
      <c r="BF29" s="5" t="s">
        <v>99</v>
      </c>
      <c r="BG29" s="5">
        <v>228</v>
      </c>
      <c r="BH29" s="3">
        <v>0</v>
      </c>
      <c r="BI29" s="3">
        <f t="shared" si="15"/>
        <v>0</v>
      </c>
      <c r="BJ29" s="3">
        <v>0</v>
      </c>
      <c r="BK29" s="3">
        <f t="shared" si="33"/>
        <v>0</v>
      </c>
      <c r="BL29" s="56">
        <f t="shared" si="17"/>
        <v>0</v>
      </c>
      <c r="BM29" s="3" t="s">
        <v>160</v>
      </c>
      <c r="BN29" s="3">
        <v>5.1470000000000002</v>
      </c>
      <c r="BO29" s="3">
        <v>1093.9300536999999</v>
      </c>
      <c r="BP29" s="3">
        <f t="shared" si="18"/>
        <v>79.69</v>
      </c>
      <c r="BQ29" s="57">
        <f t="shared" si="19"/>
        <v>1.121668727629899E-2</v>
      </c>
      <c r="BR29" s="3">
        <v>79.69</v>
      </c>
      <c r="BS29" s="3">
        <v>0</v>
      </c>
      <c r="BT29" s="3">
        <v>3</v>
      </c>
      <c r="BU29" s="3">
        <v>0</v>
      </c>
      <c r="BV29" s="3" t="s">
        <v>84</v>
      </c>
      <c r="BW29" s="23" t="s">
        <v>88</v>
      </c>
      <c r="BX29" s="3">
        <v>4.3222748815165897</v>
      </c>
      <c r="BY29" s="170">
        <f t="shared" si="20"/>
        <v>4.3</v>
      </c>
      <c r="BZ29" s="170">
        <f t="shared" si="7"/>
        <v>0</v>
      </c>
      <c r="CA29" s="170">
        <f t="shared" si="8"/>
        <v>0.29999999999999982</v>
      </c>
      <c r="CB29" s="170" t="str">
        <f t="shared" si="9"/>
        <v/>
      </c>
      <c r="CC29" s="170" t="str">
        <f t="shared" si="10"/>
        <v>4.3</v>
      </c>
      <c r="CD29" s="27"/>
      <c r="CE29" s="109" t="s">
        <v>15</v>
      </c>
      <c r="CF29" s="4">
        <v>17.899999999999999</v>
      </c>
      <c r="CG29" s="95">
        <v>236.16254501611101</v>
      </c>
      <c r="CH29" s="4">
        <f t="shared" si="1"/>
        <v>1.08274</v>
      </c>
      <c r="CI29" s="16">
        <v>1.5566913048002E-2</v>
      </c>
      <c r="CJ29" s="7" t="str">
        <f t="shared" si="21"/>
        <v>NW (4.3)</v>
      </c>
      <c r="CK29" s="3" t="s">
        <v>129</v>
      </c>
      <c r="CL29" s="23">
        <v>2.2178218364715598</v>
      </c>
      <c r="CM29" s="4">
        <v>1.7</v>
      </c>
      <c r="CN29" s="148">
        <v>0</v>
      </c>
      <c r="CO29" s="145" t="str">
        <f t="shared" si="22"/>
        <v>---</v>
      </c>
      <c r="CP29" s="87" t="str">
        <f t="shared" si="23"/>
        <v>---</v>
      </c>
      <c r="CQ29" s="109" t="s">
        <v>15</v>
      </c>
      <c r="CR29" s="5" t="s">
        <v>129</v>
      </c>
      <c r="CS29" s="137">
        <v>0</v>
      </c>
      <c r="CT29" s="95">
        <v>0</v>
      </c>
      <c r="CU29" s="95">
        <v>0</v>
      </c>
      <c r="CV29" s="95">
        <v>0</v>
      </c>
      <c r="CW29" s="95">
        <v>0</v>
      </c>
      <c r="CX29" s="96">
        <v>0</v>
      </c>
      <c r="CY29" s="137">
        <v>3.2941563461441524E-2</v>
      </c>
      <c r="CZ29" s="95">
        <v>4.1885342811907013E-2</v>
      </c>
      <c r="DA29" s="95">
        <v>5.9690145596522984E-2</v>
      </c>
      <c r="DB29" s="95">
        <v>6.0265327800435926E-2</v>
      </c>
      <c r="DC29" s="95">
        <v>6.4137052921130464E-2</v>
      </c>
      <c r="DD29" s="96">
        <v>7.5764335023376247E-2</v>
      </c>
      <c r="DE29" s="205">
        <v>490.70852093603401</v>
      </c>
      <c r="DF29" s="3">
        <v>722.796392814716</v>
      </c>
      <c r="DG29" s="3">
        <v>1367.2746592231499</v>
      </c>
      <c r="DH29" s="3">
        <v>490.70852093603401</v>
      </c>
      <c r="DI29" s="3">
        <v>722.796392814716</v>
      </c>
      <c r="DJ29" s="3">
        <v>1367.2746592231499</v>
      </c>
      <c r="DK29" s="92" t="str">
        <f t="shared" si="34"/>
        <v>Q25</v>
      </c>
      <c r="DL29" s="95">
        <v>261.24218494817598</v>
      </c>
      <c r="DM29" s="95">
        <v>399.11865450902798</v>
      </c>
      <c r="DN29" s="95">
        <v>651.19289028068704</v>
      </c>
      <c r="DO29" s="95">
        <v>766.52895286565695</v>
      </c>
      <c r="DP29" s="95">
        <v>944.70717112111697</v>
      </c>
      <c r="DQ29" s="96">
        <v>1267.7215804083401</v>
      </c>
      <c r="DR29" t="b">
        <f t="shared" si="24"/>
        <v>1</v>
      </c>
      <c r="DS29" t="s">
        <v>15</v>
      </c>
      <c r="DT29">
        <v>236.16254501611101</v>
      </c>
      <c r="EO29" s="163" t="s">
        <v>15</v>
      </c>
      <c r="EP29" s="92" t="str">
        <f t="shared" si="25"/>
        <v>---</v>
      </c>
      <c r="EQ29" s="22" t="b">
        <f t="shared" si="2"/>
        <v>1</v>
      </c>
      <c r="ER29" s="4">
        <v>1.7</v>
      </c>
      <c r="ES29" s="23">
        <v>2.2178218364715598</v>
      </c>
      <c r="ET29" s="28" t="str">
        <f t="shared" si="28"/>
        <v>NE</v>
      </c>
      <c r="EU29" s="68" t="s">
        <v>15</v>
      </c>
      <c r="EV29" s="4">
        <v>1.08274</v>
      </c>
      <c r="EW29" s="16">
        <v>1.5566913048002E-2</v>
      </c>
      <c r="EX29" s="5" t="s">
        <v>32</v>
      </c>
      <c r="EY29" t="s">
        <v>50</v>
      </c>
      <c r="EZ29" s="18" t="s">
        <v>208</v>
      </c>
      <c r="FA29" s="18" t="s">
        <v>208</v>
      </c>
      <c r="FB29" s="5" t="s">
        <v>5</v>
      </c>
      <c r="FC29" s="23" t="s">
        <v>88</v>
      </c>
      <c r="FD29" s="22"/>
      <c r="FE29" s="22"/>
      <c r="FF29" s="11"/>
      <c r="FG29" s="8">
        <v>0.836040711234036</v>
      </c>
      <c r="FH29" s="9">
        <v>0.87770000420276495</v>
      </c>
      <c r="FI29" s="9">
        <v>0.95151460902096496</v>
      </c>
      <c r="FJ29" s="9">
        <v>0.97981240726571495</v>
      </c>
      <c r="FK29" s="9">
        <v>1.0111948771414601</v>
      </c>
      <c r="FL29" s="10">
        <v>1.0838367104790101</v>
      </c>
      <c r="FM29" s="14"/>
      <c r="FN29" s="3">
        <v>1082.74</v>
      </c>
      <c r="FO29" s="5">
        <v>25</v>
      </c>
      <c r="FP29" s="5" t="str">
        <f t="shared" si="3"/>
        <v>Q25</v>
      </c>
      <c r="FQ29" s="5">
        <v>0</v>
      </c>
      <c r="FR29" s="5"/>
      <c r="FS29" s="5"/>
      <c r="FT29" s="5"/>
      <c r="FU29" s="68" t="s">
        <v>15</v>
      </c>
      <c r="FV29" s="5"/>
      <c r="FW29" s="5" t="str">
        <f t="shared" si="4"/>
        <v>---</v>
      </c>
      <c r="FX29" s="5"/>
      <c r="FY29" s="5" t="str">
        <f t="shared" si="4"/>
        <v>---</v>
      </c>
      <c r="FZ29" s="5"/>
      <c r="GA29" s="4">
        <v>0</v>
      </c>
      <c r="GB29" s="5"/>
      <c r="GC29" s="5" t="str">
        <f t="shared" si="5"/>
        <v>na</v>
      </c>
      <c r="GE29" t="s">
        <v>15</v>
      </c>
      <c r="GF29">
        <v>261.24218494817598</v>
      </c>
      <c r="GG29">
        <v>399.11865450902798</v>
      </c>
      <c r="GH29">
        <v>651.19289028068704</v>
      </c>
      <c r="GI29">
        <v>766.52895286565695</v>
      </c>
      <c r="GJ29">
        <v>944.70717112111697</v>
      </c>
      <c r="GK29">
        <v>1267.7215804083401</v>
      </c>
      <c r="GM29" s="14"/>
      <c r="GN29" s="15">
        <v>1.5566913048002E-2</v>
      </c>
      <c r="GO29">
        <v>490.70852093603401</v>
      </c>
      <c r="GP29">
        <v>722.796392814716</v>
      </c>
      <c r="GQ29">
        <v>1367.2746592231499</v>
      </c>
      <c r="GR29">
        <v>193.754382691188</v>
      </c>
      <c r="GS29">
        <v>276.76467598369499</v>
      </c>
      <c r="GT29">
        <v>390.588291283751</v>
      </c>
      <c r="GU29">
        <v>440.40900093419702</v>
      </c>
      <c r="GV29">
        <v>505.41419279288198</v>
      </c>
      <c r="GW29">
        <v>616.71784754309101</v>
      </c>
      <c r="GX29" s="14"/>
      <c r="GY29" s="14"/>
      <c r="HD29">
        <v>1</v>
      </c>
      <c r="HE29">
        <f t="shared" si="29"/>
        <v>1</v>
      </c>
      <c r="HG29">
        <v>1</v>
      </c>
      <c r="HH29">
        <f t="shared" si="30"/>
        <v>1</v>
      </c>
      <c r="HI29" t="str">
        <f t="shared" si="31"/>
        <v/>
      </c>
      <c r="HJ29" t="str">
        <f t="shared" si="6"/>
        <v>Entrenched</v>
      </c>
    </row>
    <row r="30" spans="1:249" ht="15" thickBot="1" x14ac:dyDescent="0.35">
      <c r="A30" s="130" t="s">
        <v>85</v>
      </c>
      <c r="B30" s="100">
        <v>35.68</v>
      </c>
      <c r="C30" s="100"/>
      <c r="D30" s="100"/>
      <c r="E30" s="100"/>
      <c r="F30" s="100"/>
      <c r="G30" s="100"/>
      <c r="H30" s="100"/>
      <c r="I30" s="100"/>
      <c r="J30" s="100"/>
      <c r="K30" s="100"/>
      <c r="L30" s="100"/>
      <c r="M30" s="100">
        <v>148.18</v>
      </c>
      <c r="N30" s="100">
        <v>0</v>
      </c>
      <c r="O30" s="100">
        <v>0</v>
      </c>
      <c r="P30" s="100">
        <v>0</v>
      </c>
      <c r="Q30" s="100">
        <v>0</v>
      </c>
      <c r="R30" s="100">
        <v>0</v>
      </c>
      <c r="S30" s="100">
        <v>10.5</v>
      </c>
      <c r="T30" s="100">
        <v>15</v>
      </c>
      <c r="U30" s="100" t="s">
        <v>161</v>
      </c>
      <c r="V30" s="100" t="s">
        <v>85</v>
      </c>
      <c r="W30" s="100">
        <v>502.18</v>
      </c>
      <c r="X30" s="100">
        <f t="shared" si="11"/>
        <v>0.19770866111680568</v>
      </c>
      <c r="Y30" s="100">
        <v>0</v>
      </c>
      <c r="Z30" s="100">
        <f t="shared" si="12"/>
        <v>0</v>
      </c>
      <c r="AA30" s="100">
        <f t="shared" si="0"/>
        <v>0.19770866111680568</v>
      </c>
      <c r="AB30" s="100">
        <v>5.25</v>
      </c>
      <c r="AC30" s="100">
        <v>576.92999999999995</v>
      </c>
      <c r="AD30" s="100">
        <f t="shared" si="13"/>
        <v>0.22713779493034109</v>
      </c>
      <c r="AE30" s="100">
        <v>0</v>
      </c>
      <c r="AF30" s="100">
        <f t="shared" si="14"/>
        <v>0</v>
      </c>
      <c r="AG30" s="100">
        <v>2540</v>
      </c>
      <c r="AH30" s="100" t="s">
        <v>123</v>
      </c>
      <c r="AI30" s="100">
        <v>13</v>
      </c>
      <c r="AJ30" s="100">
        <v>1.3215401172637899</v>
      </c>
      <c r="AK30" s="100">
        <v>237</v>
      </c>
      <c r="AL30" s="91">
        <v>15</v>
      </c>
      <c r="AM30" s="91" t="s">
        <v>95</v>
      </c>
      <c r="AN30" s="91" t="s">
        <v>81</v>
      </c>
      <c r="AO30" s="91">
        <v>5</v>
      </c>
      <c r="AP30" s="91">
        <v>0.53749999999999998</v>
      </c>
      <c r="AQ30" s="100" t="s">
        <v>89</v>
      </c>
      <c r="AR30" s="100" t="s">
        <v>85</v>
      </c>
      <c r="AS30" s="91" t="s">
        <v>1</v>
      </c>
      <c r="AT30" s="100" t="s">
        <v>126</v>
      </c>
      <c r="AU30" s="100" t="s">
        <v>81</v>
      </c>
      <c r="AV30" s="100"/>
      <c r="AW30" s="101" t="s">
        <v>93</v>
      </c>
      <c r="AX30" s="100" t="s">
        <v>121</v>
      </c>
      <c r="AY30" s="101">
        <v>1.2689805030822801</v>
      </c>
      <c r="AZ30" s="101"/>
      <c r="BA30" s="131" t="str">
        <f t="shared" si="26"/>
        <v>HE</v>
      </c>
      <c r="BB30" s="101">
        <v>1.5</v>
      </c>
      <c r="BC30" s="70">
        <f t="shared" si="27"/>
        <v>1.5</v>
      </c>
      <c r="BD30" s="101" t="b">
        <f t="shared" si="16"/>
        <v>1</v>
      </c>
      <c r="BE30" s="91" t="s">
        <v>82</v>
      </c>
      <c r="BF30" s="91" t="s">
        <v>97</v>
      </c>
      <c r="BG30" s="91">
        <v>70</v>
      </c>
      <c r="BH30" s="100">
        <v>1067.4000000000001</v>
      </c>
      <c r="BI30" s="100">
        <f t="shared" si="15"/>
        <v>0.42023621983368192</v>
      </c>
      <c r="BJ30" s="100">
        <v>0</v>
      </c>
      <c r="BK30" s="100">
        <f t="shared" si="33"/>
        <v>0</v>
      </c>
      <c r="BL30" s="132">
        <f t="shared" si="17"/>
        <v>0.42023621983368192</v>
      </c>
      <c r="BM30" s="100" t="s">
        <v>83</v>
      </c>
      <c r="BN30" s="100">
        <v>4</v>
      </c>
      <c r="BO30" s="100">
        <v>75.870002700000001</v>
      </c>
      <c r="BP30" s="100">
        <f t="shared" si="18"/>
        <v>75.870002700000001</v>
      </c>
      <c r="BQ30" s="133">
        <f t="shared" si="19"/>
        <v>1.4935039878873542E-2</v>
      </c>
      <c r="BR30" s="100">
        <v>0</v>
      </c>
      <c r="BS30" s="100">
        <v>75.87</v>
      </c>
      <c r="BT30" s="100">
        <v>0</v>
      </c>
      <c r="BU30" s="100">
        <v>4</v>
      </c>
      <c r="BV30" s="100" t="s">
        <v>84</v>
      </c>
      <c r="BW30" s="101" t="s">
        <v>93</v>
      </c>
      <c r="BX30" s="100">
        <v>6.6423766816143504</v>
      </c>
      <c r="BY30" s="170">
        <f t="shared" si="20"/>
        <v>6.6</v>
      </c>
      <c r="BZ30" s="170">
        <f t="shared" si="7"/>
        <v>0</v>
      </c>
      <c r="CA30" s="170">
        <f t="shared" si="8"/>
        <v>0.59999999999999964</v>
      </c>
      <c r="CB30" s="170" t="str">
        <f t="shared" si="9"/>
        <v/>
      </c>
      <c r="CC30" s="170" t="str">
        <f t="shared" si="10"/>
        <v>6.6</v>
      </c>
      <c r="CD30" s="142"/>
      <c r="CE30" s="110" t="s">
        <v>7</v>
      </c>
      <c r="CF30" s="70">
        <v>12.3</v>
      </c>
      <c r="CG30" s="102">
        <v>200.444472470411</v>
      </c>
      <c r="CH30" s="70">
        <f t="shared" si="1"/>
        <v>0.77419199999999999</v>
      </c>
      <c r="CI30" s="71">
        <v>1.53101121021577E-2</v>
      </c>
      <c r="CJ30" s="7" t="str">
        <f t="shared" si="21"/>
        <v>NC (6.6)</v>
      </c>
      <c r="CK30" s="100" t="s">
        <v>129</v>
      </c>
      <c r="CL30" s="101">
        <v>1.2689805030822801</v>
      </c>
      <c r="CM30" s="70">
        <v>1.5</v>
      </c>
      <c r="CN30" s="150">
        <v>0.42023621983368192</v>
      </c>
      <c r="CO30" s="146" t="str">
        <f t="shared" si="22"/>
        <v>---</v>
      </c>
      <c r="CP30" s="203" t="str">
        <f t="shared" si="23"/>
        <v>---</v>
      </c>
      <c r="CQ30" s="110" t="s">
        <v>7</v>
      </c>
      <c r="CR30" s="91" t="s">
        <v>129</v>
      </c>
      <c r="CS30" s="138">
        <v>0</v>
      </c>
      <c r="CT30" s="102">
        <v>0</v>
      </c>
      <c r="CU30" s="102">
        <v>0</v>
      </c>
      <c r="CV30" s="102">
        <v>0</v>
      </c>
      <c r="CW30" s="102">
        <v>0</v>
      </c>
      <c r="CX30" s="103">
        <v>0</v>
      </c>
      <c r="CY30" s="138">
        <v>3.2782172846070226E-2</v>
      </c>
      <c r="CZ30" s="102">
        <v>4.0879991477940095E-2</v>
      </c>
      <c r="DA30" s="102">
        <v>7.0161222450731212E-2</v>
      </c>
      <c r="DB30" s="102">
        <v>7.7417100387662363E-2</v>
      </c>
      <c r="DC30" s="102">
        <v>0.10244783923381887</v>
      </c>
      <c r="DD30" s="103">
        <v>0.16795491696507711</v>
      </c>
      <c r="DE30" s="206">
        <v>405.044149093285</v>
      </c>
      <c r="DF30" s="100">
        <v>591.02508959116903</v>
      </c>
      <c r="DG30" s="100">
        <v>838.87349397866603</v>
      </c>
      <c r="DH30" s="100">
        <v>405.044149093285</v>
      </c>
      <c r="DI30" s="100">
        <v>591.02508959116903</v>
      </c>
      <c r="DJ30" s="100">
        <v>838.87349397866603</v>
      </c>
      <c r="DK30" s="93" t="str">
        <f t="shared" si="34"/>
        <v>Q25</v>
      </c>
      <c r="DL30" s="102">
        <v>190.553570939145</v>
      </c>
      <c r="DM30" s="102">
        <v>275.83832883877199</v>
      </c>
      <c r="DN30" s="102">
        <v>439.669775697945</v>
      </c>
      <c r="DO30" s="102">
        <v>516.67848212160197</v>
      </c>
      <c r="DP30" s="102">
        <v>557.29131989834104</v>
      </c>
      <c r="DQ30" s="103">
        <v>765.70488965789798</v>
      </c>
      <c r="DR30" t="b">
        <f t="shared" si="24"/>
        <v>1</v>
      </c>
      <c r="DS30" t="s">
        <v>7</v>
      </c>
      <c r="DT30">
        <v>200.444472470411</v>
      </c>
      <c r="EO30" s="164" t="s">
        <v>7</v>
      </c>
      <c r="EP30" s="93" t="str">
        <f t="shared" si="25"/>
        <v>---</v>
      </c>
      <c r="EQ30" s="22" t="b">
        <f t="shared" si="2"/>
        <v>1</v>
      </c>
      <c r="ER30" s="4">
        <v>1.5</v>
      </c>
      <c r="ES30" s="23">
        <v>1.2689805030822801</v>
      </c>
      <c r="ET30" s="59" t="str">
        <f t="shared" si="28"/>
        <v>HE</v>
      </c>
      <c r="EU30" s="69" t="s">
        <v>7</v>
      </c>
      <c r="EV30" s="70">
        <v>0.77419199999999999</v>
      </c>
      <c r="EW30" s="71">
        <v>1.53101121021577E-2</v>
      </c>
      <c r="EX30" s="91" t="s">
        <v>32</v>
      </c>
      <c r="EY30" t="s">
        <v>50</v>
      </c>
      <c r="EZ30" s="18" t="s">
        <v>208</v>
      </c>
      <c r="FA30" s="18" t="s">
        <v>208</v>
      </c>
      <c r="FB30" s="5" t="s">
        <v>1</v>
      </c>
      <c r="FC30" s="59" t="s">
        <v>93</v>
      </c>
      <c r="FD30" s="22"/>
      <c r="FE30" s="22"/>
      <c r="FF30" s="11"/>
      <c r="FG30" s="8">
        <v>1.5741772239918099</v>
      </c>
      <c r="FH30" s="9">
        <v>1.6110843388713301</v>
      </c>
      <c r="FI30" s="9">
        <v>1.7031516239054301</v>
      </c>
      <c r="FJ30" s="9">
        <v>1.7468278768605401</v>
      </c>
      <c r="FK30" s="9">
        <v>1.8117381556401799</v>
      </c>
      <c r="FL30" s="10">
        <v>2.0080060987931199</v>
      </c>
      <c r="FM30" s="14"/>
      <c r="FN30" s="3">
        <v>774.19200000000001</v>
      </c>
      <c r="FO30" s="5">
        <v>25</v>
      </c>
      <c r="FP30" s="5" t="str">
        <f t="shared" si="3"/>
        <v>Q25</v>
      </c>
      <c r="FQ30" s="5">
        <v>0</v>
      </c>
      <c r="FR30" s="5"/>
      <c r="FS30" s="5"/>
      <c r="FT30" s="5"/>
      <c r="FU30" s="69" t="s">
        <v>7</v>
      </c>
      <c r="FV30" s="5"/>
      <c r="FW30" s="5" t="str">
        <f t="shared" si="4"/>
        <v>---</v>
      </c>
      <c r="FX30" s="5"/>
      <c r="FY30" s="5" t="str">
        <f t="shared" si="4"/>
        <v>---</v>
      </c>
      <c r="FZ30" s="5"/>
      <c r="GA30" s="4">
        <v>0</v>
      </c>
      <c r="GB30" s="5"/>
      <c r="GC30" s="5" t="str">
        <f t="shared" si="5"/>
        <v>na</v>
      </c>
      <c r="GE30" t="s">
        <v>7</v>
      </c>
      <c r="GF30">
        <v>190.553570939145</v>
      </c>
      <c r="GG30">
        <v>275.83832883877199</v>
      </c>
      <c r="GH30">
        <v>439.669775697945</v>
      </c>
      <c r="GI30">
        <v>516.67848212160197</v>
      </c>
      <c r="GJ30">
        <v>557.29131989834104</v>
      </c>
      <c r="GK30">
        <v>765.70488965789798</v>
      </c>
      <c r="GM30" s="14"/>
      <c r="GN30" s="15">
        <v>1.53101121021577E-2</v>
      </c>
      <c r="GO30">
        <v>405.044149093285</v>
      </c>
      <c r="GP30">
        <v>591.02508959116903</v>
      </c>
      <c r="GQ30">
        <v>838.87349397866603</v>
      </c>
      <c r="GR30">
        <v>142.80087605740499</v>
      </c>
      <c r="GS30">
        <v>193.44004741716699</v>
      </c>
      <c r="GT30">
        <v>273.78908425977897</v>
      </c>
      <c r="GU30">
        <v>317.344646368611</v>
      </c>
      <c r="GV30">
        <v>341.03842922490998</v>
      </c>
      <c r="GW30">
        <v>435.74769237960902</v>
      </c>
      <c r="GX30" s="14"/>
      <c r="GY30" s="14"/>
      <c r="HD30">
        <v>1</v>
      </c>
      <c r="HE30">
        <f t="shared" si="29"/>
        <v>1</v>
      </c>
      <c r="HG30">
        <v>1</v>
      </c>
      <c r="HH30">
        <f t="shared" si="30"/>
        <v>1</v>
      </c>
      <c r="HI30" t="str">
        <f t="shared" si="31"/>
        <v/>
      </c>
      <c r="HJ30" t="str">
        <f t="shared" si="6"/>
        <v>Entrenched</v>
      </c>
    </row>
    <row r="31" spans="1:249" s="53" customFormat="1" ht="58.8" customHeight="1" thickBot="1" x14ac:dyDescent="0.35">
      <c r="A31" s="44"/>
      <c r="B31" s="44"/>
      <c r="C31" s="44"/>
      <c r="D31" s="44"/>
      <c r="E31" s="44"/>
      <c r="F31" s="44"/>
      <c r="G31" s="44"/>
      <c r="H31" s="44"/>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L31" s="44"/>
      <c r="AM31" s="44"/>
      <c r="AN31" s="44"/>
      <c r="AO31" s="44"/>
      <c r="AP31" s="44"/>
      <c r="AQ31" s="44"/>
      <c r="AR31" s="44"/>
      <c r="AS31" s="44"/>
      <c r="AT31" s="44"/>
      <c r="AU31" s="44"/>
      <c r="AV31" s="44" t="s">
        <v>172</v>
      </c>
      <c r="AW31" s="45" t="s">
        <v>179</v>
      </c>
      <c r="AX31" s="45" t="s">
        <v>184</v>
      </c>
      <c r="BA31" s="53" t="s">
        <v>204</v>
      </c>
      <c r="BB31" s="45"/>
      <c r="BC31" s="46"/>
      <c r="BD31" s="45" t="s">
        <v>200</v>
      </c>
      <c r="BE31" s="44" t="s">
        <v>174</v>
      </c>
      <c r="BF31" s="44" t="s">
        <v>173</v>
      </c>
      <c r="BG31" s="44" t="s">
        <v>177</v>
      </c>
      <c r="BH31" s="44"/>
      <c r="BI31" s="44"/>
      <c r="BJ31" s="44"/>
      <c r="BK31" s="44"/>
      <c r="BL31" s="61" t="s">
        <v>181</v>
      </c>
      <c r="BM31" s="44" t="s">
        <v>203</v>
      </c>
      <c r="BN31" s="44"/>
      <c r="BO31" s="44"/>
      <c r="BQ31" s="44" t="s">
        <v>168</v>
      </c>
      <c r="BR31" s="44"/>
      <c r="BS31" s="44"/>
      <c r="BT31" s="44"/>
      <c r="BU31" s="44"/>
      <c r="BV31" s="44" t="s">
        <v>202</v>
      </c>
      <c r="BW31" s="44"/>
      <c r="BX31" s="44"/>
      <c r="BY31" s="44"/>
      <c r="BZ31" s="44"/>
      <c r="CA31" s="170">
        <f t="shared" si="8"/>
        <v>0</v>
      </c>
      <c r="CB31" s="170" t="str">
        <f t="shared" si="9"/>
        <v>.0</v>
      </c>
      <c r="CC31" s="170" t="str">
        <f t="shared" si="10"/>
        <v>.0</v>
      </c>
      <c r="CD31" s="44"/>
      <c r="CE31" s="183" t="s">
        <v>278</v>
      </c>
      <c r="CF31" s="161"/>
      <c r="CG31" s="161"/>
      <c r="CH31" s="161"/>
      <c r="CI31" s="161"/>
      <c r="CJ31" s="161"/>
      <c r="CK31" s="161"/>
      <c r="CL31" s="161"/>
      <c r="CM31" s="161"/>
      <c r="CN31" s="161"/>
      <c r="CO31" s="161"/>
      <c r="CP31" s="161"/>
      <c r="CQ31" s="219" t="s">
        <v>271</v>
      </c>
      <c r="CR31" s="220"/>
      <c r="CS31" s="220"/>
      <c r="CT31" s="220"/>
      <c r="CU31" s="220"/>
      <c r="CV31" s="220"/>
      <c r="CW31" s="220"/>
      <c r="CX31" s="220"/>
      <c r="CY31" s="220"/>
      <c r="CZ31" s="220"/>
      <c r="DA31" s="220"/>
      <c r="DB31" s="220"/>
      <c r="DC31" s="220"/>
      <c r="DD31" s="221"/>
      <c r="DE31" s="220" t="s">
        <v>272</v>
      </c>
      <c r="DF31" s="220"/>
      <c r="DG31" s="220"/>
      <c r="DH31" s="220"/>
      <c r="DI31" s="220"/>
      <c r="DJ31" s="220"/>
      <c r="DK31" s="220"/>
      <c r="DL31" s="220"/>
      <c r="DM31" s="220"/>
      <c r="DN31" s="220"/>
      <c r="DO31" s="220"/>
      <c r="DP31" s="220"/>
      <c r="DQ31" s="221"/>
      <c r="DR31" t="b">
        <f t="shared" si="24"/>
        <v>0</v>
      </c>
      <c r="DS31"/>
      <c r="DT31"/>
      <c r="EQ31" s="62"/>
      <c r="ER31" s="22"/>
      <c r="ES31" s="22"/>
      <c r="ET31" s="22"/>
      <c r="EU31" s="22"/>
      <c r="EV31" s="22"/>
      <c r="EW31" s="22"/>
      <c r="EX31" s="22"/>
      <c r="EY31" s="22"/>
      <c r="EZ31" s="22"/>
      <c r="FA31" s="22"/>
      <c r="FB31" s="22"/>
      <c r="FC31" s="22"/>
      <c r="FD31" s="62"/>
      <c r="FE31" s="62"/>
      <c r="FF31" s="63"/>
      <c r="FG31" s="46"/>
      <c r="FH31" s="46"/>
      <c r="FI31" s="46"/>
      <c r="FJ31" s="46"/>
      <c r="FK31" s="46"/>
      <c r="FL31" s="46"/>
      <c r="FM31" s="64"/>
      <c r="FO31" s="44"/>
      <c r="FP31" s="44"/>
      <c r="FQ31" s="44"/>
      <c r="FR31" s="44"/>
      <c r="FS31" s="44"/>
      <c r="FT31" s="44"/>
      <c r="FV31" s="44"/>
      <c r="FW31" s="44"/>
      <c r="FX31" s="44"/>
      <c r="FY31" s="44"/>
      <c r="FZ31" s="44"/>
      <c r="GA31" s="46"/>
      <c r="GB31" s="44"/>
      <c r="GC31" s="44"/>
      <c r="GD31" s="44"/>
      <c r="GL31" s="44"/>
      <c r="GM31" s="64"/>
      <c r="GN31" s="65"/>
      <c r="GX31" s="64"/>
      <c r="GY31" s="64"/>
      <c r="HC31" s="162"/>
      <c r="HG31" s="219" t="s">
        <v>265</v>
      </c>
      <c r="HH31" s="220"/>
      <c r="HI31" s="220"/>
      <c r="HJ31" s="220"/>
      <c r="HK31" s="220"/>
      <c r="HL31" s="220"/>
      <c r="HM31" s="220"/>
      <c r="HN31" s="220"/>
      <c r="HO31" s="220"/>
      <c r="HP31" s="220"/>
      <c r="HQ31" s="220"/>
      <c r="HR31" s="220"/>
      <c r="HS31" s="220"/>
      <c r="HT31" s="220"/>
      <c r="HU31" s="220"/>
      <c r="HV31" s="220"/>
      <c r="HW31" s="220"/>
      <c r="HX31" s="220"/>
      <c r="HY31" s="220"/>
      <c r="HZ31" s="220"/>
      <c r="IA31" s="220"/>
      <c r="IB31" s="220"/>
      <c r="IC31" s="220"/>
      <c r="ID31" s="220"/>
      <c r="IE31" s="220"/>
      <c r="IF31" s="220"/>
      <c r="IG31" s="220"/>
      <c r="IH31" s="220"/>
      <c r="II31" s="220"/>
      <c r="IJ31" s="220"/>
      <c r="IK31" s="220"/>
      <c r="IL31" s="220"/>
      <c r="IM31" s="220"/>
      <c r="IN31" s="220"/>
      <c r="IO31" s="221"/>
    </row>
    <row r="32" spans="1:249" s="53" customFormat="1" ht="409.6" x14ac:dyDescent="0.3">
      <c r="A32" s="44"/>
      <c r="B32" s="44"/>
      <c r="C32" s="44"/>
      <c r="D32" s="44"/>
      <c r="E32" s="44"/>
      <c r="F32" s="44"/>
      <c r="G32" s="44"/>
      <c r="H32" s="44"/>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52"/>
      <c r="AR32" s="44"/>
      <c r="AS32" s="44"/>
      <c r="AT32" s="44"/>
      <c r="AU32" s="44"/>
      <c r="AV32" s="44"/>
      <c r="AW32" s="52" t="s">
        <v>183</v>
      </c>
      <c r="AX32" s="44"/>
      <c r="AY32" s="45"/>
      <c r="AZ32" s="45"/>
      <c r="BA32" s="47"/>
      <c r="BB32" s="45"/>
      <c r="BC32" s="48"/>
      <c r="BD32" s="47"/>
      <c r="BE32" s="232" t="s">
        <v>178</v>
      </c>
      <c r="BF32" s="232"/>
      <c r="BG32" s="44"/>
      <c r="BH32" s="44"/>
      <c r="BI32" s="44"/>
      <c r="BJ32" s="44"/>
      <c r="BK32" s="44"/>
      <c r="BL32" s="61"/>
      <c r="BM32" s="44" t="s">
        <v>180</v>
      </c>
      <c r="BN32" s="44"/>
      <c r="BO32" s="44"/>
      <c r="BQ32" s="44" t="s">
        <v>201</v>
      </c>
      <c r="BR32" s="44"/>
      <c r="BS32" s="44"/>
      <c r="BT32" s="44"/>
      <c r="BU32" s="44"/>
      <c r="BV32" s="44"/>
      <c r="BW32" s="52" t="s">
        <v>183</v>
      </c>
      <c r="BX32" s="44"/>
      <c r="BY32" s="44"/>
      <c r="BZ32" s="44"/>
      <c r="CA32" s="170">
        <f t="shared" si="8"/>
        <v>0</v>
      </c>
      <c r="CB32" s="170" t="str">
        <f t="shared" si="9"/>
        <v>.0</v>
      </c>
      <c r="CC32" s="170" t="str">
        <f t="shared" si="10"/>
        <v>.0</v>
      </c>
      <c r="CD32" s="44"/>
      <c r="CH32" s="46"/>
      <c r="CI32" s="60"/>
      <c r="CJ32" s="52" t="s">
        <v>183</v>
      </c>
      <c r="CK32" s="44"/>
      <c r="CL32" s="45"/>
      <c r="CM32" s="45"/>
      <c r="CO32" s="151"/>
      <c r="CP32" s="44"/>
      <c r="CR32" s="44"/>
      <c r="CS32" s="62"/>
      <c r="CT32" s="62"/>
      <c r="CU32" s="62"/>
      <c r="CV32" s="62"/>
      <c r="CW32" s="62"/>
      <c r="CX32" s="62"/>
      <c r="CY32" s="62"/>
      <c r="CZ32" s="62"/>
      <c r="DA32" s="62"/>
      <c r="DB32" s="62"/>
      <c r="DC32" s="62"/>
      <c r="DD32" s="62">
        <f>MEDIAN(DD6:DD30)</f>
        <v>0.9367625332253755</v>
      </c>
      <c r="DL32" s="62"/>
      <c r="DM32" s="62"/>
      <c r="DN32" s="62"/>
      <c r="DO32" s="62"/>
      <c r="DP32" s="62"/>
      <c r="DQ32" s="62"/>
      <c r="DR32" t="b">
        <f t="shared" si="24"/>
        <v>1</v>
      </c>
      <c r="DS32"/>
      <c r="DT32"/>
      <c r="EP32" s="44"/>
      <c r="EQ32" s="62"/>
      <c r="ER32" s="22"/>
      <c r="ES32" s="22"/>
      <c r="ET32" s="22"/>
      <c r="EU32" s="22"/>
      <c r="EV32" s="22"/>
      <c r="EW32" s="22"/>
      <c r="EX32" s="22"/>
      <c r="EY32" s="22"/>
      <c r="EZ32" s="22"/>
      <c r="FA32" s="22"/>
      <c r="FB32" s="22"/>
      <c r="FC32" s="22"/>
      <c r="FD32" s="62"/>
      <c r="FE32" s="62"/>
      <c r="FF32" s="63"/>
      <c r="FG32" s="46"/>
      <c r="FH32" s="46"/>
      <c r="FI32" s="46"/>
      <c r="FJ32" s="46"/>
      <c r="FK32" s="46"/>
      <c r="FL32" s="46"/>
      <c r="FM32" s="64"/>
      <c r="FO32" s="44"/>
      <c r="FP32" s="44"/>
      <c r="FQ32" s="44"/>
      <c r="FR32" s="44"/>
      <c r="FS32" s="44"/>
      <c r="FT32" s="44"/>
      <c r="FV32" s="44"/>
      <c r="FW32" s="44"/>
      <c r="FX32" s="44"/>
      <c r="FY32" s="44"/>
      <c r="FZ32" s="44"/>
      <c r="GA32" s="46"/>
      <c r="GB32" s="44"/>
      <c r="GC32" s="44"/>
      <c r="GD32" s="44"/>
      <c r="GL32" s="44"/>
      <c r="GM32" s="64"/>
      <c r="GN32" s="65"/>
      <c r="GX32" s="64"/>
      <c r="GY32" s="64"/>
    </row>
    <row r="33" spans="1:207" s="53" customFormat="1" ht="72" x14ac:dyDescent="0.3">
      <c r="A33" s="44"/>
      <c r="B33" s="44"/>
      <c r="C33" s="44"/>
      <c r="D33" s="44"/>
      <c r="E33" s="44"/>
      <c r="F33" s="44"/>
      <c r="G33" s="44"/>
      <c r="H33" s="44"/>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5"/>
      <c r="AX33" s="44"/>
      <c r="AY33" s="45"/>
      <c r="AZ33" s="45"/>
      <c r="BA33" s="47"/>
      <c r="BB33" s="45"/>
      <c r="BC33" s="48"/>
      <c r="BD33" s="47"/>
      <c r="BE33" s="44"/>
      <c r="BF33" s="44" t="s">
        <v>175</v>
      </c>
      <c r="BG33" s="44"/>
      <c r="BH33" s="44"/>
      <c r="BI33" s="44"/>
      <c r="BJ33" s="44"/>
      <c r="BK33" s="44"/>
      <c r="BL33" s="61"/>
      <c r="BM33" s="44"/>
      <c r="BN33" s="44"/>
      <c r="BO33" s="44"/>
      <c r="BP33" s="44"/>
      <c r="BQ33" s="66"/>
      <c r="BR33" s="44"/>
      <c r="BS33" s="44"/>
      <c r="BT33" s="44"/>
      <c r="BU33" s="44"/>
      <c r="BV33" s="44"/>
      <c r="BW33" s="45"/>
      <c r="BX33" s="44"/>
      <c r="BY33" s="44"/>
      <c r="BZ33" s="44"/>
      <c r="CA33" s="170">
        <f t="shared" si="8"/>
        <v>0</v>
      </c>
      <c r="CB33" s="170" t="str">
        <f t="shared" si="9"/>
        <v>.0</v>
      </c>
      <c r="CC33" s="170" t="str">
        <f t="shared" si="10"/>
        <v>.0</v>
      </c>
      <c r="CD33" s="44"/>
      <c r="CH33" s="46"/>
      <c r="CI33" s="60"/>
      <c r="CJ33" s="45"/>
      <c r="CK33" s="44"/>
      <c r="CL33" s="45"/>
      <c r="CM33" s="45"/>
      <c r="CO33" s="87"/>
      <c r="CP33" s="44"/>
      <c r="CR33" s="44"/>
      <c r="CS33" s="62"/>
      <c r="CT33" s="62"/>
      <c r="CU33" s="62"/>
      <c r="CV33" s="62"/>
      <c r="CW33" s="62"/>
      <c r="CX33" s="62"/>
      <c r="CY33" s="62"/>
      <c r="CZ33" s="62"/>
      <c r="DA33" s="62"/>
      <c r="DB33" s="62"/>
      <c r="DC33" s="62"/>
      <c r="DD33" s="62"/>
      <c r="DL33" s="62"/>
      <c r="DM33" s="62"/>
      <c r="DN33" s="62"/>
      <c r="DO33" s="62"/>
      <c r="DP33" s="62"/>
      <c r="DQ33" s="62"/>
      <c r="DS33"/>
      <c r="DT33"/>
      <c r="EP33" s="44"/>
      <c r="EQ33" s="62"/>
      <c r="ER33" s="22"/>
      <c r="ES33" s="22"/>
      <c r="ET33" s="22"/>
      <c r="EU33" s="22"/>
      <c r="EV33" s="22"/>
      <c r="EW33" s="22"/>
      <c r="EX33" s="22"/>
      <c r="EY33" s="22"/>
      <c r="EZ33" s="22"/>
      <c r="FA33" s="22"/>
      <c r="FB33" s="22"/>
      <c r="FC33" s="22"/>
      <c r="FD33" s="62"/>
      <c r="FE33" s="62"/>
      <c r="FF33" s="63"/>
      <c r="FG33" s="46"/>
      <c r="FH33" s="46"/>
      <c r="FI33" s="46"/>
      <c r="FJ33" s="46"/>
      <c r="FK33" s="46"/>
      <c r="FL33" s="46"/>
      <c r="FM33" s="64"/>
      <c r="FO33" s="44"/>
      <c r="FP33" s="44"/>
      <c r="FQ33" s="44"/>
      <c r="FR33" s="44"/>
      <c r="FS33" s="44"/>
      <c r="FT33" s="44"/>
      <c r="FV33" s="44"/>
      <c r="FW33" s="44"/>
      <c r="FX33" s="44"/>
      <c r="FY33" s="44"/>
      <c r="FZ33" s="44"/>
      <c r="GA33" s="46"/>
      <c r="GB33" s="44"/>
      <c r="GC33" s="44"/>
      <c r="GD33" s="44"/>
      <c r="GL33" s="44"/>
      <c r="GM33" s="64"/>
      <c r="GN33" s="65"/>
      <c r="GX33" s="64"/>
      <c r="GY33" s="64"/>
    </row>
    <row r="34" spans="1:207" s="53" customFormat="1" ht="100.8" x14ac:dyDescent="0.3">
      <c r="A34" s="49"/>
      <c r="B34" s="49"/>
      <c r="C34" s="49"/>
      <c r="D34" s="49"/>
      <c r="E34" s="49"/>
      <c r="F34" s="49"/>
      <c r="G34" s="49"/>
      <c r="H34" s="49"/>
      <c r="I34" s="49"/>
      <c r="J34" s="49"/>
      <c r="K34" s="49"/>
      <c r="L34" s="49"/>
      <c r="M34" s="49"/>
      <c r="N34" s="49"/>
      <c r="O34" s="49"/>
      <c r="P34" s="49"/>
      <c r="Q34" s="49"/>
      <c r="R34" s="49"/>
      <c r="S34" s="49"/>
      <c r="T34" s="49"/>
      <c r="U34" s="49"/>
      <c r="V34" s="49"/>
      <c r="W34" s="49"/>
      <c r="X34" s="49"/>
      <c r="Y34" s="49"/>
      <c r="Z34" s="49"/>
      <c r="AA34" s="49"/>
      <c r="AB34" s="49"/>
      <c r="AC34" s="49"/>
      <c r="AD34" s="49"/>
      <c r="AE34" s="49"/>
      <c r="AF34" s="49"/>
      <c r="AG34" s="49"/>
      <c r="AH34" s="49"/>
      <c r="AI34" s="49"/>
      <c r="AJ34" s="49"/>
      <c r="AK34" s="49"/>
      <c r="AQ34" s="49"/>
      <c r="AR34" s="49"/>
      <c r="AS34" s="49"/>
      <c r="AT34" s="49"/>
      <c r="AU34" s="49"/>
      <c r="AV34" s="49"/>
      <c r="AX34" s="49"/>
      <c r="BA34" s="47"/>
      <c r="BC34" s="48"/>
      <c r="BD34" s="47"/>
      <c r="BF34" s="53" t="s">
        <v>176</v>
      </c>
      <c r="BH34" s="49"/>
      <c r="BI34" s="49"/>
      <c r="BJ34" s="49"/>
      <c r="BK34" s="49"/>
      <c r="BL34" s="50"/>
      <c r="BM34" s="49"/>
      <c r="BN34" s="49"/>
      <c r="BO34" s="49"/>
      <c r="BP34" s="49"/>
      <c r="BQ34" s="51"/>
      <c r="BR34" s="49"/>
      <c r="BS34" s="49"/>
      <c r="BT34" s="49"/>
      <c r="BU34" s="49"/>
      <c r="BV34" s="49"/>
      <c r="BX34" s="49"/>
      <c r="BY34" s="49"/>
      <c r="BZ34" s="49"/>
      <c r="CA34" s="170">
        <f t="shared" si="8"/>
        <v>0</v>
      </c>
      <c r="CB34" s="170" t="str">
        <f t="shared" si="9"/>
        <v>.0</v>
      </c>
      <c r="CC34" s="170" t="str">
        <f t="shared" si="10"/>
        <v>.0</v>
      </c>
      <c r="CD34" s="49"/>
      <c r="CE34" s="49"/>
      <c r="CF34" s="49"/>
      <c r="CG34" s="49"/>
      <c r="CH34" s="49"/>
      <c r="CI34" s="49"/>
      <c r="CK34" s="49"/>
      <c r="CN34" s="49"/>
      <c r="CO34" s="87"/>
      <c r="CP34" s="49"/>
      <c r="CQ34" s="49"/>
      <c r="CR34" s="44"/>
      <c r="CS34" s="49"/>
      <c r="CT34" s="49"/>
      <c r="CU34" s="49"/>
      <c r="CV34" s="49"/>
      <c r="DS34"/>
      <c r="DT34"/>
      <c r="EP34" s="49"/>
      <c r="ER34" s="22"/>
      <c r="ES34" s="22"/>
      <c r="ET34" s="22"/>
      <c r="EU34" s="22"/>
      <c r="EV34" s="22"/>
      <c r="EW34" s="22"/>
      <c r="EX34" s="22"/>
      <c r="EY34" s="22"/>
      <c r="EZ34" s="22"/>
      <c r="FA34" s="22"/>
      <c r="FB34" s="22"/>
      <c r="FC34" s="22"/>
      <c r="FG34" s="49"/>
      <c r="FH34" s="49"/>
      <c r="FI34" s="49"/>
      <c r="FJ34" s="49"/>
      <c r="FK34" s="49"/>
      <c r="FL34" s="49"/>
      <c r="FN34" s="49"/>
      <c r="FO34" s="49"/>
      <c r="FP34" s="49"/>
      <c r="FQ34" s="49"/>
      <c r="FR34" s="49"/>
      <c r="FS34" s="49"/>
      <c r="FT34" s="49"/>
      <c r="FV34" s="49"/>
      <c r="FW34" s="49"/>
      <c r="FX34" s="49"/>
      <c r="FY34" s="49"/>
      <c r="FZ34" s="49"/>
      <c r="GA34" s="49"/>
      <c r="GB34" s="49"/>
      <c r="GC34" s="49"/>
      <c r="GD34" s="49"/>
      <c r="GE34" s="49"/>
      <c r="GF34" s="49"/>
      <c r="GG34" s="49"/>
      <c r="GH34" s="49"/>
      <c r="GI34" s="49"/>
      <c r="GJ34" s="49"/>
      <c r="GK34" s="49"/>
      <c r="GL34" s="49"/>
    </row>
    <row r="35" spans="1:207" s="1" customFormat="1" x14ac:dyDescent="0.3">
      <c r="A35" s="39"/>
      <c r="B35" s="39"/>
      <c r="C35" s="39"/>
      <c r="D35" s="39"/>
      <c r="E35" s="39"/>
      <c r="F35" s="39"/>
      <c r="G35" s="39"/>
      <c r="H35" s="39"/>
      <c r="I35" s="39"/>
      <c r="J35" s="39"/>
      <c r="K35" s="39"/>
      <c r="L35" s="39"/>
      <c r="M35" s="39"/>
      <c r="N35" s="39"/>
      <c r="O35" s="39"/>
      <c r="P35" s="39"/>
      <c r="Q35" s="39"/>
      <c r="R35" s="39"/>
      <c r="S35" s="39"/>
      <c r="T35" s="39"/>
      <c r="U35" s="39"/>
      <c r="V35" s="39"/>
      <c r="W35" s="39"/>
      <c r="X35" s="39"/>
      <c r="Y35" s="39"/>
      <c r="Z35" s="39"/>
      <c r="AA35" s="39"/>
      <c r="AB35" s="39"/>
      <c r="AC35" s="39"/>
      <c r="AD35" s="39"/>
      <c r="AE35" s="39"/>
      <c r="AF35" s="39"/>
      <c r="AG35" s="39"/>
      <c r="AH35" s="39"/>
      <c r="AI35" s="39"/>
      <c r="AJ35" s="39"/>
      <c r="AK35" s="39"/>
      <c r="AQ35" s="39"/>
      <c r="AR35" s="39"/>
      <c r="AS35" s="39"/>
      <c r="AT35" s="39"/>
      <c r="AU35" s="39"/>
      <c r="AV35" s="39"/>
      <c r="AX35" s="39"/>
      <c r="BH35" s="39"/>
      <c r="BI35" s="39"/>
      <c r="BJ35" s="39"/>
      <c r="BK35" s="39"/>
      <c r="BL35" s="40"/>
      <c r="BM35" s="39"/>
      <c r="BN35" s="39"/>
      <c r="BO35" s="39"/>
      <c r="BP35" s="39"/>
      <c r="BQ35" s="41"/>
      <c r="BR35" s="39"/>
      <c r="BS35" s="39"/>
      <c r="BT35" s="39"/>
      <c r="BU35" s="39"/>
      <c r="BV35" s="39"/>
      <c r="BX35" s="39"/>
      <c r="BY35" s="39"/>
      <c r="BZ35" s="39"/>
      <c r="CA35" s="39"/>
      <c r="CB35" s="39"/>
      <c r="CC35" s="39"/>
      <c r="CD35" s="39"/>
      <c r="CE35" s="39"/>
      <c r="CF35" s="39"/>
      <c r="CG35" s="39"/>
      <c r="CH35" s="39"/>
      <c r="CI35" s="39"/>
      <c r="CK35" s="39"/>
      <c r="CN35" s="39"/>
      <c r="CO35" s="87"/>
      <c r="CP35" s="39"/>
      <c r="CQ35" s="39"/>
      <c r="CR35" s="12"/>
      <c r="CS35" s="39"/>
      <c r="CT35" s="39"/>
      <c r="CU35" s="39"/>
      <c r="CV35" s="39"/>
      <c r="DS35"/>
      <c r="DT35"/>
      <c r="EP35" s="39"/>
      <c r="ER35" s="22"/>
      <c r="ES35" s="22"/>
      <c r="ET35" s="22"/>
      <c r="EU35" s="22"/>
      <c r="EV35" s="22"/>
      <c r="EW35" s="22"/>
      <c r="EX35" s="22"/>
      <c r="EY35" s="22"/>
      <c r="EZ35" s="22"/>
      <c r="FA35" s="22"/>
      <c r="FB35" s="22"/>
      <c r="FC35" s="22"/>
      <c r="FG35" s="39"/>
      <c r="FH35" s="39"/>
      <c r="FI35" s="39"/>
      <c r="FJ35" s="39"/>
      <c r="FK35" s="39"/>
      <c r="FL35" s="39"/>
      <c r="FN35" s="39"/>
      <c r="FO35" s="39"/>
      <c r="FP35" s="39"/>
      <c r="FQ35" s="39"/>
      <c r="FR35" s="39"/>
      <c r="FS35" s="39"/>
      <c r="FT35" s="39"/>
      <c r="FV35" s="39"/>
      <c r="FW35" s="39"/>
      <c r="FX35" s="39"/>
      <c r="FY35" s="39"/>
      <c r="FZ35" s="39"/>
      <c r="GA35" s="39"/>
      <c r="GB35" s="39"/>
      <c r="GC35" s="39"/>
      <c r="GD35" s="39"/>
      <c r="GE35" s="39"/>
      <c r="GF35" s="39"/>
      <c r="GG35" s="39"/>
      <c r="GH35" s="39"/>
      <c r="GI35" s="39"/>
      <c r="GJ35" s="39"/>
      <c r="GK35" s="39"/>
      <c r="GL35" s="39"/>
    </row>
    <row r="36" spans="1:207" s="1" customFormat="1" x14ac:dyDescent="0.3">
      <c r="A36" s="39"/>
      <c r="B36" s="39"/>
      <c r="C36" s="39"/>
      <c r="D36" s="39"/>
      <c r="E36" s="39"/>
      <c r="F36" s="39"/>
      <c r="G36" s="39"/>
      <c r="H36" s="39"/>
      <c r="I36" s="39"/>
      <c r="J36" s="39"/>
      <c r="K36" s="39"/>
      <c r="L36" s="39"/>
      <c r="M36" s="39"/>
      <c r="N36" s="39"/>
      <c r="O36" s="39"/>
      <c r="P36" s="39"/>
      <c r="Q36" s="39"/>
      <c r="R36" s="39"/>
      <c r="S36" s="39"/>
      <c r="T36" s="39"/>
      <c r="U36" s="39"/>
      <c r="V36" s="39"/>
      <c r="W36" s="39"/>
      <c r="X36" s="39"/>
      <c r="Y36" s="39"/>
      <c r="Z36" s="39"/>
      <c r="AA36" s="39"/>
      <c r="AB36" s="39"/>
      <c r="AC36" s="39"/>
      <c r="AD36" s="39"/>
      <c r="AE36" s="39"/>
      <c r="AF36" s="39"/>
      <c r="AG36" s="39"/>
      <c r="AH36" s="39"/>
      <c r="AI36" s="39"/>
      <c r="AJ36" s="39"/>
      <c r="AK36" s="39"/>
      <c r="AQ36" s="39"/>
      <c r="AR36" s="39"/>
      <c r="AS36" s="39"/>
      <c r="AT36" s="39"/>
      <c r="AU36" s="39"/>
      <c r="AV36" s="39"/>
      <c r="AX36" s="39"/>
      <c r="BH36" s="39"/>
      <c r="BI36" s="39"/>
      <c r="BJ36" s="39"/>
      <c r="BK36" s="39"/>
      <c r="BL36" s="40"/>
      <c r="BM36" s="39"/>
      <c r="BN36" s="39"/>
      <c r="BO36" s="39"/>
      <c r="BP36" s="39"/>
      <c r="BQ36" s="41"/>
      <c r="BR36" s="39"/>
      <c r="BS36" s="39"/>
      <c r="BT36" s="39"/>
      <c r="BU36" s="39"/>
      <c r="BV36" s="39"/>
      <c r="BX36" s="39"/>
      <c r="BY36" s="39"/>
      <c r="BZ36" s="39"/>
      <c r="CA36" s="39"/>
      <c r="CB36" s="39"/>
      <c r="CC36" s="39"/>
      <c r="CD36" s="39"/>
      <c r="CE36" s="39"/>
      <c r="CF36" s="39"/>
      <c r="CG36" s="39"/>
      <c r="CH36" s="39"/>
      <c r="CI36" s="39"/>
      <c r="CK36" s="39"/>
      <c r="CN36" s="39"/>
      <c r="CO36" s="87"/>
      <c r="CP36" s="39"/>
      <c r="CQ36" s="39"/>
      <c r="CR36" s="12"/>
      <c r="CS36" s="39"/>
      <c r="CT36" s="39"/>
      <c r="CU36" s="39"/>
      <c r="CV36" s="39"/>
      <c r="DC36" s="1">
        <f>6/23</f>
        <v>0.2608695652173913</v>
      </c>
      <c r="DS36"/>
      <c r="DT36"/>
      <c r="EP36" s="39"/>
      <c r="ER36" s="22"/>
      <c r="ES36" s="22"/>
      <c r="ET36" s="22"/>
      <c r="EU36" s="22"/>
      <c r="EV36" s="22"/>
      <c r="EW36" s="22"/>
      <c r="EX36" s="22"/>
      <c r="EY36" s="22"/>
      <c r="EZ36" s="22"/>
      <c r="FA36" s="22"/>
      <c r="FB36" s="22"/>
      <c r="FC36" s="22"/>
      <c r="FG36" s="39"/>
      <c r="FH36" s="39"/>
      <c r="FI36" s="39"/>
      <c r="FJ36" s="39"/>
      <c r="FK36" s="39"/>
      <c r="FL36" s="39"/>
      <c r="FN36" s="39"/>
      <c r="FO36" s="39"/>
      <c r="FP36" s="39"/>
      <c r="FQ36" s="39"/>
      <c r="FR36" s="39"/>
      <c r="FS36" s="39"/>
      <c r="FT36" s="39"/>
      <c r="FV36" s="39"/>
      <c r="FW36" s="39"/>
      <c r="FX36" s="39"/>
      <c r="FY36" s="39"/>
      <c r="FZ36" s="39"/>
      <c r="GA36" s="39"/>
      <c r="GB36" s="39"/>
      <c r="GC36" s="39"/>
      <c r="GD36" s="39"/>
      <c r="GE36" s="39"/>
      <c r="GF36" s="39"/>
      <c r="GG36" s="39"/>
      <c r="GH36" s="39"/>
      <c r="GI36" s="39"/>
      <c r="GJ36" s="39"/>
      <c r="GK36" s="39"/>
      <c r="GL36" s="39"/>
    </row>
    <row r="37" spans="1:207" s="1" customFormat="1" x14ac:dyDescent="0.3">
      <c r="A37" s="39"/>
      <c r="B37" s="39"/>
      <c r="C37" s="39"/>
      <c r="D37" s="39"/>
      <c r="E37" s="39"/>
      <c r="F37" s="39"/>
      <c r="G37" s="39"/>
      <c r="H37" s="39"/>
      <c r="I37" s="39"/>
      <c r="J37" s="39"/>
      <c r="K37" s="39"/>
      <c r="L37" s="39"/>
      <c r="M37" s="39"/>
      <c r="N37" s="39"/>
      <c r="O37" s="39"/>
      <c r="P37" s="39"/>
      <c r="Q37" s="39"/>
      <c r="R37" s="39"/>
      <c r="S37" s="39"/>
      <c r="T37" s="39"/>
      <c r="U37" s="39"/>
      <c r="V37" s="39"/>
      <c r="W37" s="39"/>
      <c r="X37" s="39"/>
      <c r="Y37" s="39"/>
      <c r="Z37" s="39"/>
      <c r="AA37" s="39"/>
      <c r="AB37" s="39"/>
      <c r="AC37" s="39"/>
      <c r="AD37" s="39"/>
      <c r="AE37" s="39"/>
      <c r="AF37" s="39"/>
      <c r="AG37" s="39"/>
      <c r="AH37" s="39"/>
      <c r="AI37" s="39"/>
      <c r="AJ37" s="39"/>
      <c r="AK37" s="39"/>
      <c r="AQ37" s="39"/>
      <c r="AR37" s="39"/>
      <c r="AS37" s="39"/>
      <c r="AT37" s="39"/>
      <c r="AU37" s="39"/>
      <c r="AV37" s="39"/>
      <c r="AX37" s="39"/>
      <c r="BH37" s="39"/>
      <c r="BI37" s="39"/>
      <c r="BJ37" s="39"/>
      <c r="BK37" s="39"/>
      <c r="BL37" s="40"/>
      <c r="BM37" s="39"/>
      <c r="BN37" s="39"/>
      <c r="BO37" s="39"/>
      <c r="BP37" s="39"/>
      <c r="BQ37" s="41"/>
      <c r="BR37" s="39"/>
      <c r="BS37" s="39"/>
      <c r="BT37" s="39"/>
      <c r="BU37" s="39"/>
      <c r="BV37" s="39"/>
      <c r="BX37" s="39"/>
      <c r="BY37" s="39"/>
      <c r="BZ37" s="39"/>
      <c r="CA37" s="39"/>
      <c r="CB37" s="39"/>
      <c r="CC37" s="39"/>
      <c r="CD37" s="39"/>
      <c r="CE37" s="39"/>
      <c r="CF37" s="39"/>
      <c r="CG37" s="39"/>
      <c r="CH37" s="39"/>
      <c r="CI37" s="39"/>
      <c r="CK37" s="39"/>
      <c r="CN37" s="39"/>
      <c r="CO37" s="87"/>
      <c r="CP37" s="39"/>
      <c r="CQ37" s="39"/>
      <c r="CR37" s="12"/>
      <c r="CS37" s="39"/>
      <c r="CT37" s="39"/>
      <c r="CU37" s="39"/>
      <c r="CV37" s="39"/>
      <c r="DS37" s="53"/>
      <c r="DT37" s="53"/>
      <c r="EP37" s="39"/>
      <c r="ER37" s="22"/>
      <c r="ES37" s="22"/>
      <c r="ET37" s="22"/>
      <c r="EU37" s="22"/>
      <c r="EV37" s="22"/>
      <c r="EW37" s="22"/>
      <c r="EX37" s="22"/>
      <c r="EY37" s="22"/>
      <c r="EZ37" s="22"/>
      <c r="FA37" s="22"/>
      <c r="FB37" s="22"/>
      <c r="FC37" s="22"/>
      <c r="FG37" s="39"/>
      <c r="FH37" s="39"/>
      <c r="FI37" s="39"/>
      <c r="FJ37" s="39"/>
      <c r="FK37" s="39"/>
      <c r="FL37" s="39"/>
      <c r="FN37" s="39"/>
      <c r="FO37" s="39"/>
      <c r="FP37" s="39"/>
      <c r="FQ37" s="39"/>
      <c r="FR37" s="39"/>
      <c r="FS37" s="39"/>
      <c r="FT37" s="39"/>
      <c r="FV37" s="39"/>
      <c r="FW37" s="39"/>
      <c r="FX37" s="39"/>
      <c r="FY37" s="39"/>
      <c r="FZ37" s="39"/>
      <c r="GA37" s="39"/>
      <c r="GB37" s="39"/>
      <c r="GC37" s="39"/>
      <c r="GD37" s="39"/>
      <c r="GE37" s="39"/>
      <c r="GF37" s="39"/>
      <c r="GG37" s="39"/>
      <c r="GH37" s="39"/>
      <c r="GI37" s="39"/>
      <c r="GJ37" s="39"/>
      <c r="GK37" s="39"/>
      <c r="GL37" s="39"/>
    </row>
    <row r="38" spans="1:207" s="1" customFormat="1" x14ac:dyDescent="0.3">
      <c r="A38" s="39"/>
      <c r="B38" s="39"/>
      <c r="C38" s="39"/>
      <c r="D38" s="39"/>
      <c r="E38" s="39"/>
      <c r="F38" s="39"/>
      <c r="G38" s="39"/>
      <c r="H38" s="39"/>
      <c r="I38" s="39"/>
      <c r="J38" s="39"/>
      <c r="K38" s="39"/>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Q38" s="39"/>
      <c r="AR38" s="39"/>
      <c r="AS38" s="39"/>
      <c r="AT38" s="39"/>
      <c r="AU38" s="39"/>
      <c r="AV38" s="39"/>
      <c r="AX38" s="39"/>
      <c r="BH38" s="39"/>
      <c r="BI38" s="39"/>
      <c r="BJ38" s="39"/>
      <c r="BK38" s="39"/>
      <c r="BL38" s="40"/>
      <c r="BM38" s="39"/>
      <c r="BN38" s="39"/>
      <c r="BO38" s="39"/>
      <c r="BP38" s="39"/>
      <c r="BQ38" s="41"/>
      <c r="BR38" s="39"/>
      <c r="BS38" s="39"/>
      <c r="BT38" s="39"/>
      <c r="BU38" s="39"/>
      <c r="BV38" s="39"/>
      <c r="BX38" s="39"/>
      <c r="BY38" s="39"/>
      <c r="BZ38" s="39"/>
      <c r="CA38" s="39"/>
      <c r="CB38" s="39"/>
      <c r="CC38" s="39"/>
      <c r="CD38" s="39"/>
      <c r="CE38" s="39"/>
      <c r="CF38" s="39"/>
      <c r="CG38" s="39"/>
      <c r="CH38" s="39"/>
      <c r="CI38" s="39"/>
      <c r="CK38" s="39"/>
      <c r="CN38" s="39"/>
      <c r="CO38" s="87"/>
      <c r="CP38" s="39"/>
      <c r="CQ38" s="39"/>
      <c r="CR38" s="12"/>
      <c r="CS38" s="39"/>
      <c r="CT38" s="39"/>
      <c r="CU38" s="39"/>
      <c r="CV38" s="39"/>
      <c r="DS38" s="53"/>
      <c r="DT38" s="53"/>
      <c r="EP38" s="39"/>
      <c r="ER38" s="62"/>
      <c r="ES38" s="62"/>
      <c r="ET38" s="62"/>
      <c r="EU38" s="62"/>
      <c r="EV38" s="62"/>
      <c r="EW38" s="62"/>
      <c r="EX38" s="62"/>
      <c r="EY38" s="62"/>
      <c r="EZ38" s="62"/>
      <c r="FA38" s="62"/>
      <c r="FB38" s="62"/>
      <c r="FC38" s="62"/>
      <c r="FG38" s="39"/>
      <c r="FH38" s="39"/>
      <c r="FI38" s="39"/>
      <c r="FJ38" s="39"/>
      <c r="FK38" s="39"/>
      <c r="FL38" s="39"/>
      <c r="FN38" s="39"/>
      <c r="FO38" s="39"/>
      <c r="FP38" s="39"/>
      <c r="FQ38" s="39"/>
      <c r="FR38" s="39"/>
      <c r="FS38" s="39"/>
      <c r="FT38" s="39"/>
      <c r="FV38" s="39"/>
      <c r="FW38" s="39"/>
      <c r="FX38" s="39"/>
      <c r="FY38" s="39"/>
      <c r="FZ38" s="39"/>
      <c r="GA38" s="39"/>
      <c r="GB38" s="39"/>
      <c r="GC38" s="39"/>
      <c r="GD38" s="39"/>
      <c r="GE38" s="39"/>
      <c r="GF38" s="39"/>
      <c r="GG38" s="39"/>
      <c r="GH38" s="39"/>
      <c r="GI38" s="39"/>
      <c r="GJ38" s="39"/>
      <c r="GK38" s="39"/>
      <c r="GL38" s="39"/>
    </row>
    <row r="39" spans="1:207" s="1" customFormat="1" x14ac:dyDescent="0.3">
      <c r="A39" s="39"/>
      <c r="B39" s="39"/>
      <c r="C39" s="39"/>
      <c r="D39" s="39"/>
      <c r="E39" s="39"/>
      <c r="F39" s="39"/>
      <c r="G39" s="39"/>
      <c r="H39" s="39"/>
      <c r="I39" s="39"/>
      <c r="J39" s="39"/>
      <c r="K39" s="39"/>
      <c r="L39" s="39"/>
      <c r="M39" s="39"/>
      <c r="N39" s="39"/>
      <c r="O39" s="39"/>
      <c r="P39" s="39"/>
      <c r="Q39" s="39"/>
      <c r="R39" s="39"/>
      <c r="S39" s="39"/>
      <c r="T39" s="39"/>
      <c r="U39" s="39"/>
      <c r="V39" s="39"/>
      <c r="W39" s="39"/>
      <c r="X39" s="39"/>
      <c r="Y39" s="39"/>
      <c r="Z39" s="39"/>
      <c r="AA39" s="39"/>
      <c r="AB39" s="39"/>
      <c r="AC39" s="39"/>
      <c r="AD39" s="39"/>
      <c r="AE39" s="39"/>
      <c r="AF39" s="39"/>
      <c r="AG39" s="39"/>
      <c r="AH39" s="39"/>
      <c r="AI39" s="39"/>
      <c r="AJ39" s="39"/>
      <c r="AK39" s="39"/>
      <c r="AQ39" s="39"/>
      <c r="AR39" s="39"/>
      <c r="AS39" s="39"/>
      <c r="AT39" s="39"/>
      <c r="AU39" s="39"/>
      <c r="AV39" s="39"/>
      <c r="AX39" s="39"/>
      <c r="BH39" s="39"/>
      <c r="BI39" s="39"/>
      <c r="BJ39" s="39"/>
      <c r="BK39" s="39"/>
      <c r="BL39" s="40"/>
      <c r="BM39" s="39"/>
      <c r="BN39" s="39"/>
      <c r="BO39" s="39"/>
      <c r="BP39" s="39"/>
      <c r="BQ39" s="41"/>
      <c r="BR39" s="39"/>
      <c r="BS39" s="39"/>
      <c r="BT39" s="39"/>
      <c r="BU39" s="39"/>
      <c r="BV39" s="39"/>
      <c r="BX39" s="39"/>
      <c r="BY39" s="39"/>
      <c r="BZ39" s="39"/>
      <c r="CA39" s="39"/>
      <c r="CB39" s="39"/>
      <c r="CC39" s="39"/>
      <c r="CD39" s="39"/>
      <c r="CE39" s="39"/>
      <c r="CF39" s="39"/>
      <c r="CG39" s="39"/>
      <c r="CH39" s="39"/>
      <c r="CI39" s="39"/>
      <c r="CK39" s="39"/>
      <c r="CN39" s="39"/>
      <c r="CO39" s="87"/>
      <c r="CP39" s="39"/>
      <c r="CQ39" s="39"/>
      <c r="CR39" s="12"/>
      <c r="CS39" s="39"/>
      <c r="CT39" s="39"/>
      <c r="CU39" s="39"/>
      <c r="CV39" s="39"/>
      <c r="DS39" s="53"/>
      <c r="DT39" s="53"/>
      <c r="EP39" s="39"/>
      <c r="ER39" s="62"/>
      <c r="ES39" s="62"/>
      <c r="ET39" s="62"/>
      <c r="EU39" s="62"/>
      <c r="EV39" s="62"/>
      <c r="EW39" s="62"/>
      <c r="EX39" s="62"/>
      <c r="EY39" s="62"/>
      <c r="EZ39" s="62"/>
      <c r="FA39" s="62"/>
      <c r="FB39" s="62"/>
      <c r="FC39" s="62"/>
      <c r="FG39" s="39"/>
      <c r="FH39" s="39"/>
      <c r="FI39" s="39"/>
      <c r="FJ39" s="39"/>
      <c r="FK39" s="39"/>
      <c r="FL39" s="39"/>
      <c r="FN39" s="39"/>
      <c r="FO39" s="39"/>
      <c r="FP39" s="39"/>
      <c r="FQ39" s="39"/>
      <c r="FR39" s="39"/>
      <c r="FS39" s="39"/>
      <c r="FT39" s="39"/>
      <c r="FV39" s="39"/>
      <c r="FW39" s="39"/>
      <c r="FX39" s="39"/>
      <c r="FY39" s="39"/>
      <c r="FZ39" s="39"/>
      <c r="GA39" s="39"/>
      <c r="GB39" s="39"/>
      <c r="GC39" s="39"/>
      <c r="GD39" s="39"/>
      <c r="GE39" s="39"/>
      <c r="GF39" s="39"/>
      <c r="GG39" s="39"/>
      <c r="GH39" s="39"/>
      <c r="GI39" s="39"/>
      <c r="GJ39" s="39"/>
      <c r="GK39" s="39"/>
      <c r="GL39" s="39"/>
    </row>
    <row r="40" spans="1:207" s="1" customFormat="1" x14ac:dyDescent="0.3">
      <c r="A40" s="12"/>
      <c r="C40" s="12"/>
      <c r="D40" s="12"/>
      <c r="E40" s="12"/>
      <c r="F40" s="12"/>
      <c r="G40" s="12"/>
      <c r="H40" s="12"/>
      <c r="I40" s="12"/>
      <c r="J40" s="12"/>
      <c r="K40" s="12"/>
      <c r="L40" s="12"/>
      <c r="M40" s="12"/>
      <c r="N40" s="12"/>
      <c r="O40" s="12"/>
      <c r="P40" s="12"/>
      <c r="Q40" s="12"/>
      <c r="R40" s="12"/>
      <c r="S40" s="12"/>
      <c r="U40" s="12"/>
      <c r="V40" s="12"/>
      <c r="W40" s="12"/>
      <c r="X40" s="12"/>
      <c r="Y40" s="12"/>
      <c r="Z40" s="12"/>
      <c r="AA40" s="12"/>
      <c r="AB40" s="12"/>
      <c r="AC40" s="12"/>
      <c r="AD40" s="12"/>
      <c r="AE40" s="12"/>
      <c r="AF40" s="12"/>
      <c r="AG40" s="12"/>
      <c r="AI40" s="12"/>
      <c r="AJ40" s="12"/>
      <c r="AK40" s="12"/>
      <c r="AL40" s="12"/>
      <c r="AM40" s="12"/>
      <c r="AN40" s="12"/>
      <c r="AO40" s="12"/>
      <c r="AP40" s="12"/>
      <c r="AQ40" s="12"/>
      <c r="AS40" s="12"/>
      <c r="AU40" s="12"/>
      <c r="AV40" s="12"/>
      <c r="AX40" s="12"/>
      <c r="AY40" s="12"/>
      <c r="AZ40" s="12"/>
      <c r="BA40" s="12"/>
      <c r="BB40" s="12"/>
      <c r="BC40" s="12"/>
      <c r="BD40" s="12"/>
      <c r="BE40" s="12"/>
      <c r="BF40" s="12"/>
      <c r="BG40" s="12"/>
      <c r="BH40" s="12"/>
      <c r="BI40" s="12"/>
      <c r="BJ40" s="12"/>
      <c r="BK40" s="12"/>
      <c r="BL40" s="42"/>
      <c r="BM40" s="12"/>
      <c r="BN40" s="12"/>
      <c r="BO40" s="12"/>
      <c r="BP40" s="12"/>
      <c r="BQ40" s="43"/>
      <c r="BR40" s="12"/>
      <c r="BS40" s="12"/>
      <c r="BT40" s="12"/>
      <c r="BU40" s="12"/>
      <c r="BV40" s="12"/>
      <c r="BY40" s="12"/>
      <c r="BZ40" s="12"/>
      <c r="CA40" s="12"/>
      <c r="CB40" s="12"/>
      <c r="CC40" s="12"/>
      <c r="CD40" s="12"/>
      <c r="CH40" s="12"/>
      <c r="CI40" s="12"/>
      <c r="CK40" s="12"/>
      <c r="CL40" s="12"/>
      <c r="CM40" s="12"/>
      <c r="CO40" s="87"/>
      <c r="CP40" s="12"/>
      <c r="CR40" s="12"/>
      <c r="DS40" s="53"/>
      <c r="DT40" s="53"/>
      <c r="EP40" s="12"/>
      <c r="ER40" s="62"/>
      <c r="ES40" s="62"/>
      <c r="ET40" s="62"/>
      <c r="EU40" s="62"/>
      <c r="EV40" s="62"/>
      <c r="EW40" s="62"/>
      <c r="EX40" s="62"/>
      <c r="EY40" s="62"/>
      <c r="EZ40" s="62"/>
      <c r="FA40" s="62"/>
      <c r="FB40" s="62"/>
      <c r="FC40" s="62"/>
      <c r="FG40" s="12"/>
      <c r="FH40" s="12"/>
      <c r="FI40" s="12"/>
      <c r="FJ40" s="12"/>
      <c r="FK40" s="12"/>
      <c r="FL40" s="12"/>
      <c r="FO40" s="12"/>
      <c r="FP40" s="12"/>
      <c r="FQ40" s="12"/>
      <c r="FR40" s="12"/>
      <c r="FS40" s="12"/>
      <c r="FT40" s="12"/>
      <c r="FV40" s="12"/>
      <c r="FW40" s="12"/>
      <c r="FX40" s="12"/>
      <c r="FY40" s="12"/>
      <c r="FZ40" s="12"/>
      <c r="GA40" s="12"/>
      <c r="GB40" s="12"/>
      <c r="GC40" s="12"/>
      <c r="GD40" s="12"/>
      <c r="GE40" s="12"/>
      <c r="GF40" s="12"/>
      <c r="GG40" s="12"/>
      <c r="GH40" s="12"/>
      <c r="GI40" s="12"/>
      <c r="GJ40" s="12"/>
      <c r="GK40" s="12"/>
      <c r="GL40" s="12"/>
    </row>
    <row r="41" spans="1:207" s="1" customFormat="1" x14ac:dyDescent="0.3">
      <c r="A41" s="12"/>
      <c r="C41" s="12"/>
      <c r="D41" s="12"/>
      <c r="E41" s="12"/>
      <c r="F41" s="12"/>
      <c r="G41" s="12"/>
      <c r="H41" s="12"/>
      <c r="I41" s="12"/>
      <c r="J41" s="12"/>
      <c r="K41" s="12"/>
      <c r="L41" s="12"/>
      <c r="M41" s="12"/>
      <c r="N41" s="12"/>
      <c r="O41" s="12"/>
      <c r="P41" s="12"/>
      <c r="Q41" s="12"/>
      <c r="R41" s="12"/>
      <c r="S41" s="12"/>
      <c r="U41" s="12"/>
      <c r="V41" s="12"/>
      <c r="W41" s="12"/>
      <c r="X41" s="12"/>
      <c r="Y41" s="12"/>
      <c r="Z41" s="12"/>
      <c r="AA41" s="12"/>
      <c r="AB41" s="12"/>
      <c r="AC41" s="12"/>
      <c r="AD41" s="12"/>
      <c r="AE41" s="12"/>
      <c r="AF41" s="12"/>
      <c r="AG41" s="12"/>
      <c r="AI41" s="12"/>
      <c r="AJ41" s="12"/>
      <c r="AK41" s="12"/>
      <c r="AL41" s="12"/>
      <c r="AM41" s="12"/>
      <c r="AN41" s="12"/>
      <c r="AO41" s="12"/>
      <c r="AP41" s="12"/>
      <c r="AQ41" s="12"/>
      <c r="AS41" s="12"/>
      <c r="AU41" s="12"/>
      <c r="AV41" s="12"/>
      <c r="AX41" s="12"/>
      <c r="AY41" s="12"/>
      <c r="AZ41" s="12"/>
      <c r="BA41" s="12"/>
      <c r="BB41" s="12"/>
      <c r="BC41" s="12"/>
      <c r="BD41" s="12"/>
      <c r="BE41" s="12"/>
      <c r="BF41" s="12"/>
      <c r="BG41" s="12"/>
      <c r="BH41" s="12"/>
      <c r="BI41" s="12"/>
      <c r="BJ41" s="12"/>
      <c r="BK41" s="12"/>
      <c r="BL41" s="42"/>
      <c r="BM41" s="12"/>
      <c r="BN41" s="12"/>
      <c r="BO41" s="12"/>
      <c r="BP41" s="12"/>
      <c r="BQ41" s="43"/>
      <c r="BR41" s="12"/>
      <c r="BS41" s="12"/>
      <c r="BT41" s="12"/>
      <c r="BU41" s="12"/>
      <c r="BV41" s="12"/>
      <c r="BY41" s="12"/>
      <c r="BZ41" s="12"/>
      <c r="CA41" s="12"/>
      <c r="CB41" s="12"/>
      <c r="CC41" s="12"/>
      <c r="CD41" s="12"/>
      <c r="CH41" s="12"/>
      <c r="CI41" s="12"/>
      <c r="CK41" s="12"/>
      <c r="CL41" s="12"/>
      <c r="CM41" s="12"/>
      <c r="CO41" s="87"/>
      <c r="CP41" s="12"/>
      <c r="CR41" s="12"/>
      <c r="EP41" s="12"/>
      <c r="ER41" s="53"/>
      <c r="ES41" s="53"/>
      <c r="ET41" s="53"/>
      <c r="EU41" s="53"/>
      <c r="EV41" s="53"/>
      <c r="EW41" s="53"/>
      <c r="EX41" s="53"/>
      <c r="EY41" s="53"/>
      <c r="EZ41" s="53"/>
      <c r="FA41" s="53"/>
      <c r="FB41" s="53"/>
      <c r="FC41" s="53"/>
      <c r="FG41" s="12"/>
      <c r="FH41" s="12"/>
      <c r="FI41" s="12"/>
      <c r="FJ41" s="12"/>
      <c r="FK41" s="12"/>
      <c r="FL41" s="12"/>
      <c r="FO41" s="12"/>
      <c r="FP41" s="12"/>
      <c r="FQ41" s="12"/>
      <c r="FR41" s="12"/>
      <c r="FS41" s="12"/>
      <c r="FT41" s="12"/>
      <c r="FV41" s="12"/>
      <c r="FW41" s="12"/>
      <c r="FX41" s="12"/>
      <c r="FY41" s="12"/>
      <c r="FZ41" s="12"/>
      <c r="GA41" s="12"/>
      <c r="GB41" s="12"/>
      <c r="GC41" s="12"/>
      <c r="GD41" s="12"/>
      <c r="GE41" s="12"/>
      <c r="GF41" s="12"/>
      <c r="GG41" s="12"/>
      <c r="GH41" s="12"/>
      <c r="GI41" s="12"/>
      <c r="GJ41" s="12"/>
      <c r="GK41" s="12"/>
      <c r="GL41" s="12"/>
    </row>
    <row r="42" spans="1:207" s="1" customFormat="1" x14ac:dyDescent="0.3">
      <c r="A42" s="12"/>
      <c r="C42" s="12"/>
      <c r="D42" s="12"/>
      <c r="E42" s="12"/>
      <c r="F42" s="12"/>
      <c r="G42" s="12"/>
      <c r="H42" s="12"/>
      <c r="I42" s="12"/>
      <c r="J42" s="12"/>
      <c r="K42" s="12"/>
      <c r="L42" s="12"/>
      <c r="M42" s="12"/>
      <c r="N42" s="12"/>
      <c r="O42" s="12"/>
      <c r="P42" s="12"/>
      <c r="Q42" s="12"/>
      <c r="R42" s="12"/>
      <c r="S42" s="12"/>
      <c r="U42" s="12"/>
      <c r="V42" s="12"/>
      <c r="W42" s="12"/>
      <c r="X42" s="12"/>
      <c r="Y42" s="12"/>
      <c r="Z42" s="12"/>
      <c r="AA42" s="12"/>
      <c r="AB42" s="12"/>
      <c r="AC42" s="12"/>
      <c r="AD42" s="12"/>
      <c r="AE42" s="12"/>
      <c r="AF42" s="12"/>
      <c r="AG42" s="12"/>
      <c r="AI42" s="12"/>
      <c r="AJ42" s="12"/>
      <c r="AK42" s="12"/>
      <c r="AL42" s="12"/>
      <c r="AM42" s="12"/>
      <c r="AN42" s="12"/>
      <c r="AO42" s="12"/>
      <c r="AP42" s="12"/>
      <c r="AQ42" s="12"/>
      <c r="AS42" s="12"/>
      <c r="AU42" s="12"/>
      <c r="AV42" s="12"/>
      <c r="AX42" s="12"/>
      <c r="AY42" s="12"/>
      <c r="AZ42" s="12"/>
      <c r="BA42" s="12"/>
      <c r="BB42" s="12"/>
      <c r="BC42" s="12"/>
      <c r="BD42" s="12"/>
      <c r="BE42" s="12"/>
      <c r="BF42" s="12"/>
      <c r="BG42" s="12"/>
      <c r="BH42" s="12"/>
      <c r="BI42" s="12"/>
      <c r="BJ42" s="12"/>
      <c r="BK42" s="12"/>
      <c r="BL42" s="42"/>
      <c r="BM42" s="12"/>
      <c r="BN42" s="12"/>
      <c r="BO42" s="12"/>
      <c r="BP42" s="12"/>
      <c r="BQ42" s="43"/>
      <c r="BR42" s="12"/>
      <c r="BS42" s="12"/>
      <c r="BT42" s="12"/>
      <c r="BU42" s="12"/>
      <c r="BV42" s="12"/>
      <c r="BY42" s="12"/>
      <c r="BZ42" s="12"/>
      <c r="CA42" s="12"/>
      <c r="CB42" s="12"/>
      <c r="CC42" s="12"/>
      <c r="CD42" s="12"/>
      <c r="CH42" s="12"/>
      <c r="CI42" s="12"/>
      <c r="CK42" s="12"/>
      <c r="CL42" s="12"/>
      <c r="CM42" s="12"/>
      <c r="CO42" s="87"/>
      <c r="CP42" s="12"/>
      <c r="CR42" s="12"/>
      <c r="EP42" s="12"/>
      <c r="FG42" s="12"/>
      <c r="FH42" s="12"/>
      <c r="FI42" s="12"/>
      <c r="FJ42" s="12"/>
      <c r="FK42" s="12"/>
      <c r="FL42" s="12"/>
      <c r="FO42" s="12"/>
      <c r="FP42" s="12"/>
      <c r="FQ42" s="12"/>
      <c r="FR42" s="12"/>
      <c r="FS42" s="12"/>
      <c r="FT42" s="12"/>
      <c r="FV42" s="12"/>
      <c r="FW42" s="12"/>
      <c r="FX42" s="12"/>
      <c r="FY42" s="12"/>
      <c r="FZ42" s="12"/>
      <c r="GA42" s="12"/>
      <c r="GB42" s="12"/>
      <c r="GC42" s="12"/>
      <c r="GD42" s="12"/>
      <c r="GE42" s="12"/>
      <c r="GF42" s="12"/>
      <c r="GG42" s="12"/>
      <c r="GH42" s="12"/>
      <c r="GI42" s="12"/>
      <c r="GJ42" s="12"/>
      <c r="GK42" s="12"/>
      <c r="GL42" s="12"/>
    </row>
    <row r="43" spans="1:207" s="1" customFormat="1" x14ac:dyDescent="0.3">
      <c r="A43" s="12"/>
      <c r="C43" s="12"/>
      <c r="D43" s="12"/>
      <c r="E43" s="12"/>
      <c r="F43" s="12"/>
      <c r="G43" s="12"/>
      <c r="H43" s="12"/>
      <c r="I43" s="12"/>
      <c r="J43" s="12"/>
      <c r="K43" s="12"/>
      <c r="L43" s="12"/>
      <c r="M43" s="12"/>
      <c r="N43" s="12"/>
      <c r="O43" s="12"/>
      <c r="P43" s="12"/>
      <c r="Q43" s="12"/>
      <c r="R43" s="12"/>
      <c r="S43" s="12"/>
      <c r="U43" s="12"/>
      <c r="V43" s="12"/>
      <c r="W43" s="12"/>
      <c r="X43" s="12"/>
      <c r="Y43" s="12"/>
      <c r="Z43" s="12"/>
      <c r="AA43" s="12"/>
      <c r="AB43" s="12"/>
      <c r="AC43" s="12"/>
      <c r="AD43" s="12"/>
      <c r="AE43" s="12"/>
      <c r="AF43" s="12"/>
      <c r="AG43" s="12"/>
      <c r="AI43" s="12"/>
      <c r="AJ43" s="12"/>
      <c r="AK43" s="12"/>
      <c r="AL43" s="12"/>
      <c r="AM43" s="12"/>
      <c r="AN43" s="12"/>
      <c r="AO43" s="12"/>
      <c r="AP43" s="12"/>
      <c r="AQ43" s="12"/>
      <c r="AS43" s="12"/>
      <c r="AU43" s="12"/>
      <c r="AV43" s="12"/>
      <c r="AX43" s="12"/>
      <c r="AY43" s="12"/>
      <c r="AZ43" s="12"/>
      <c r="BA43" s="12"/>
      <c r="BB43" s="12"/>
      <c r="BC43" s="12"/>
      <c r="BD43" s="12"/>
      <c r="BE43" s="12"/>
      <c r="BF43" s="12"/>
      <c r="BG43" s="12"/>
      <c r="BH43" s="12"/>
      <c r="BI43" s="12"/>
      <c r="BJ43" s="12"/>
      <c r="BK43" s="12"/>
      <c r="BL43" s="42"/>
      <c r="BM43" s="12"/>
      <c r="BN43" s="12"/>
      <c r="BO43" s="12"/>
      <c r="BP43" s="12"/>
      <c r="BQ43" s="43"/>
      <c r="BR43" s="12"/>
      <c r="BS43" s="12"/>
      <c r="BT43" s="12"/>
      <c r="BU43" s="12"/>
      <c r="BV43" s="12"/>
      <c r="BY43" s="12"/>
      <c r="BZ43" s="12"/>
      <c r="CA43" s="12"/>
      <c r="CB43" s="12"/>
      <c r="CC43" s="12"/>
      <c r="CD43" s="12"/>
      <c r="CH43" s="12"/>
      <c r="CI43" s="12"/>
      <c r="CK43" s="12"/>
      <c r="CL43" s="12"/>
      <c r="CM43" s="12"/>
      <c r="CO43" s="87"/>
      <c r="CP43" s="12"/>
      <c r="CR43" s="12"/>
      <c r="EP43" s="12"/>
      <c r="FG43" s="12"/>
      <c r="FH43" s="12"/>
      <c r="FI43" s="12"/>
      <c r="FJ43" s="12"/>
      <c r="FK43" s="12"/>
      <c r="FL43" s="12"/>
      <c r="FO43" s="12"/>
      <c r="FP43" s="12"/>
      <c r="FQ43" s="12"/>
      <c r="FR43" s="12"/>
      <c r="FS43" s="12"/>
      <c r="FT43" s="12"/>
      <c r="FV43" s="12"/>
      <c r="FW43" s="12"/>
      <c r="FX43" s="12"/>
      <c r="FY43" s="12"/>
      <c r="FZ43" s="12"/>
      <c r="GA43" s="12"/>
      <c r="GB43" s="12"/>
      <c r="GC43" s="12"/>
      <c r="GD43" s="12"/>
      <c r="GE43" s="12"/>
      <c r="GF43" s="12"/>
      <c r="GG43" s="12"/>
      <c r="GH43" s="12"/>
      <c r="GI43" s="12"/>
      <c r="GJ43" s="12"/>
      <c r="GK43" s="12"/>
      <c r="GL43" s="12"/>
    </row>
    <row r="44" spans="1:207" s="1" customFormat="1" x14ac:dyDescent="0.3">
      <c r="A44" s="12"/>
      <c r="C44" s="12"/>
      <c r="D44" s="12"/>
      <c r="E44" s="12"/>
      <c r="F44" s="12"/>
      <c r="G44" s="12"/>
      <c r="H44" s="12"/>
      <c r="I44" s="12"/>
      <c r="J44" s="12"/>
      <c r="K44" s="12"/>
      <c r="L44" s="12"/>
      <c r="M44" s="12"/>
      <c r="N44" s="12"/>
      <c r="O44" s="12"/>
      <c r="P44" s="12"/>
      <c r="Q44" s="12"/>
      <c r="R44" s="12"/>
      <c r="S44" s="12"/>
      <c r="U44" s="12"/>
      <c r="V44" s="12"/>
      <c r="W44" s="12"/>
      <c r="X44" s="12"/>
      <c r="Y44" s="12"/>
      <c r="Z44" s="12"/>
      <c r="AA44" s="12"/>
      <c r="AB44" s="12"/>
      <c r="AC44" s="12"/>
      <c r="AD44" s="12"/>
      <c r="AE44" s="12"/>
      <c r="AF44" s="12"/>
      <c r="AG44" s="12"/>
      <c r="AI44" s="12"/>
      <c r="AJ44" s="12"/>
      <c r="AK44" s="12"/>
      <c r="AL44" s="12"/>
      <c r="AM44" s="12"/>
      <c r="AN44" s="12"/>
      <c r="AO44" s="12"/>
      <c r="AP44" s="12"/>
      <c r="AQ44" s="12"/>
      <c r="AS44" s="12"/>
      <c r="AU44" s="12"/>
      <c r="AV44" s="12"/>
      <c r="AX44" s="12"/>
      <c r="AY44" s="12"/>
      <c r="AZ44" s="12"/>
      <c r="BA44" s="12"/>
      <c r="BB44" s="12"/>
      <c r="BC44" s="12"/>
      <c r="BD44" s="12"/>
      <c r="BE44" s="12"/>
      <c r="BF44" s="12"/>
      <c r="BG44" s="12"/>
      <c r="BH44" s="12"/>
      <c r="BI44" s="12"/>
      <c r="BJ44" s="12"/>
      <c r="BK44" s="12"/>
      <c r="BL44" s="42"/>
      <c r="BM44" s="12"/>
      <c r="BN44" s="12"/>
      <c r="BO44" s="12"/>
      <c r="BP44" s="12"/>
      <c r="BQ44" s="43"/>
      <c r="BR44" s="12"/>
      <c r="BS44" s="12"/>
      <c r="BT44" s="12"/>
      <c r="BU44" s="12"/>
      <c r="BV44" s="12"/>
      <c r="BY44" s="12"/>
      <c r="BZ44" s="12"/>
      <c r="CA44" s="12"/>
      <c r="CB44" s="12"/>
      <c r="CC44" s="12"/>
      <c r="CD44" s="12"/>
      <c r="CH44" s="12"/>
      <c r="CI44" s="12"/>
      <c r="CK44" s="12"/>
      <c r="CL44" s="12"/>
      <c r="CM44" s="12"/>
      <c r="CO44" s="87"/>
      <c r="CP44" s="12"/>
      <c r="CR44" s="12"/>
      <c r="EP44" s="12"/>
      <c r="FG44" s="12"/>
      <c r="FH44" s="12"/>
      <c r="FI44" s="12"/>
      <c r="FJ44" s="12"/>
      <c r="FK44" s="12"/>
      <c r="FL44" s="12"/>
      <c r="FO44" s="12"/>
      <c r="FP44" s="12"/>
      <c r="FQ44" s="12"/>
      <c r="FR44" s="12"/>
      <c r="FS44" s="12"/>
      <c r="FT44" s="12"/>
      <c r="FV44" s="12"/>
      <c r="FW44" s="12"/>
      <c r="FX44" s="12"/>
      <c r="FY44" s="12"/>
      <c r="FZ44" s="12"/>
      <c r="GA44" s="12"/>
      <c r="GB44" s="12"/>
      <c r="GC44" s="12"/>
      <c r="GD44" s="12"/>
      <c r="GE44" s="12"/>
      <c r="GF44" s="12"/>
      <c r="GG44" s="12"/>
      <c r="GH44" s="12"/>
      <c r="GI44" s="12"/>
      <c r="GJ44" s="12"/>
      <c r="GK44" s="12"/>
      <c r="GL44" s="12"/>
    </row>
    <row r="45" spans="1:207" x14ac:dyDescent="0.3">
      <c r="DS45" s="1"/>
      <c r="DT45" s="1"/>
      <c r="ER45" s="1"/>
      <c r="ES45" s="1"/>
      <c r="ET45" s="1"/>
      <c r="EU45" s="1"/>
      <c r="EV45" s="1"/>
      <c r="EW45" s="1"/>
      <c r="EX45" s="1"/>
      <c r="EY45" s="1"/>
      <c r="EZ45" s="1"/>
      <c r="FA45" s="1"/>
      <c r="FB45" s="1"/>
      <c r="FC45" s="1"/>
    </row>
    <row r="46" spans="1:207" x14ac:dyDescent="0.3">
      <c r="DS46" s="1"/>
      <c r="DT46" s="1"/>
      <c r="ER46" s="1"/>
      <c r="ES46" s="1"/>
      <c r="ET46" s="1"/>
      <c r="EU46" s="1"/>
      <c r="EV46" s="1"/>
      <c r="EW46" s="1"/>
      <c r="EX46" s="1"/>
      <c r="EY46" s="1"/>
      <c r="EZ46" s="1"/>
      <c r="FA46" s="1"/>
      <c r="FB46" s="1"/>
      <c r="FC46" s="1"/>
    </row>
    <row r="47" spans="1:207" x14ac:dyDescent="0.3">
      <c r="DS47" s="1"/>
      <c r="DT47" s="1"/>
      <c r="ER47" s="1"/>
      <c r="ES47" s="1"/>
      <c r="ET47" s="1"/>
      <c r="EU47" s="1"/>
      <c r="EV47" s="1"/>
      <c r="EW47" s="1"/>
      <c r="EX47" s="1"/>
      <c r="EY47" s="1"/>
      <c r="EZ47" s="1"/>
      <c r="FA47" s="1"/>
      <c r="FB47" s="1"/>
      <c r="FC47" s="1"/>
    </row>
    <row r="48" spans="1:207" x14ac:dyDescent="0.3">
      <c r="DS48" s="1"/>
      <c r="DT48" s="1"/>
      <c r="ER48" s="1"/>
      <c r="ES48" s="1"/>
      <c r="ET48" s="1"/>
      <c r="EU48" s="1"/>
      <c r="EV48" s="1"/>
      <c r="EW48" s="1"/>
      <c r="EX48" s="1"/>
      <c r="EY48" s="1"/>
      <c r="EZ48" s="1"/>
      <c r="FA48" s="1"/>
      <c r="FB48" s="1"/>
      <c r="FC48" s="1"/>
    </row>
    <row r="49" spans="123:159" x14ac:dyDescent="0.3">
      <c r="DS49" s="1"/>
      <c r="DT49" s="1"/>
      <c r="ER49" s="1"/>
      <c r="ES49" s="1"/>
      <c r="ET49" s="1"/>
      <c r="EU49" s="1"/>
      <c r="EV49" s="1"/>
      <c r="EW49" s="1"/>
      <c r="EX49" s="1"/>
      <c r="EY49" s="1"/>
      <c r="EZ49" s="1"/>
      <c r="FA49" s="1"/>
      <c r="FB49" s="1"/>
      <c r="FC49" s="1"/>
    </row>
    <row r="50" spans="123:159" x14ac:dyDescent="0.3">
      <c r="DS50" s="1"/>
      <c r="DT50" s="1"/>
      <c r="ER50" s="1"/>
      <c r="ES50" s="1"/>
      <c r="ET50" s="1"/>
      <c r="EU50" s="1"/>
      <c r="EV50" s="1"/>
      <c r="EW50" s="1"/>
      <c r="EX50" s="1"/>
      <c r="EY50" s="1"/>
      <c r="EZ50" s="1"/>
      <c r="FA50" s="1"/>
      <c r="FB50" s="1"/>
      <c r="FC50" s="1"/>
    </row>
    <row r="51" spans="123:159" x14ac:dyDescent="0.3">
      <c r="ER51" s="1"/>
      <c r="ES51" s="1"/>
      <c r="ET51" s="1"/>
      <c r="EU51" s="1"/>
      <c r="EV51" s="1"/>
      <c r="EW51" s="1"/>
      <c r="EX51" s="1"/>
      <c r="EY51" s="1"/>
      <c r="EZ51" s="1"/>
      <c r="FA51" s="1"/>
      <c r="FB51" s="1"/>
      <c r="FC51" s="1"/>
    </row>
  </sheetData>
  <mergeCells count="24">
    <mergeCell ref="GR1:GW1"/>
    <mergeCell ref="U1:AA1"/>
    <mergeCell ref="AC1:AF1"/>
    <mergeCell ref="BH1:BL1"/>
    <mergeCell ref="BN1:BU1"/>
    <mergeCell ref="DE1:DQ1"/>
    <mergeCell ref="FG1:FL1"/>
    <mergeCell ref="GA1:GC1"/>
    <mergeCell ref="GF1:GK1"/>
    <mergeCell ref="GO1:GQ1"/>
    <mergeCell ref="HG31:IO31"/>
    <mergeCell ref="DH4:DJ4"/>
    <mergeCell ref="DK4:DK5"/>
    <mergeCell ref="DL4:DQ4"/>
    <mergeCell ref="BE32:BF32"/>
    <mergeCell ref="CQ4:CQ5"/>
    <mergeCell ref="CQ31:DD31"/>
    <mergeCell ref="CY4:DD4"/>
    <mergeCell ref="DE4:DG4"/>
    <mergeCell ref="CS4:CX4"/>
    <mergeCell ref="CS8:CX8"/>
    <mergeCell ref="CY8:DD8"/>
    <mergeCell ref="CR4:CR5"/>
    <mergeCell ref="DE31:DQ31"/>
  </mergeCells>
  <conditionalFormatting sqref="AV8">
    <cfRule type="colorScale" priority="9">
      <colorScale>
        <cfvo type="min"/>
        <cfvo type="max"/>
        <color rgb="FFFCFCFF"/>
        <color rgb="FF63BE7B"/>
      </colorScale>
    </cfRule>
  </conditionalFormatting>
  <conditionalFormatting sqref="AY8:AZ8">
    <cfRule type="colorScale" priority="8">
      <colorScale>
        <cfvo type="min"/>
        <cfvo type="max"/>
        <color rgb="FFFCFCFF"/>
        <color rgb="FF63BE7B"/>
      </colorScale>
    </cfRule>
  </conditionalFormatting>
  <conditionalFormatting sqref="BE8">
    <cfRule type="colorScale" priority="7">
      <colorScale>
        <cfvo type="min"/>
        <cfvo type="max"/>
        <color rgb="FFFCFCFF"/>
        <color rgb="FF63BE7B"/>
      </colorScale>
    </cfRule>
  </conditionalFormatting>
  <conditionalFormatting sqref="BL8">
    <cfRule type="colorScale" priority="6">
      <colorScale>
        <cfvo type="min"/>
        <cfvo type="max"/>
        <color rgb="FFFCFCFF"/>
        <color rgb="FF63BE7B"/>
      </colorScale>
    </cfRule>
  </conditionalFormatting>
  <conditionalFormatting sqref="BQ8">
    <cfRule type="colorScale" priority="5">
      <colorScale>
        <cfvo type="min"/>
        <cfvo type="max"/>
        <color rgb="FFFCFCFF"/>
        <color rgb="FF63BE7B"/>
      </colorScale>
    </cfRule>
  </conditionalFormatting>
  <conditionalFormatting sqref="BW8">
    <cfRule type="colorScale" priority="1">
      <colorScale>
        <cfvo type="min"/>
        <cfvo type="max"/>
        <color rgb="FFFCFCFF"/>
        <color rgb="FF63BE7B"/>
      </colorScale>
    </cfRule>
  </conditionalFormatting>
  <conditionalFormatting sqref="CJ8">
    <cfRule type="colorScale" priority="4">
      <colorScale>
        <cfvo type="min"/>
        <cfvo type="max"/>
        <color rgb="FFFCFCFF"/>
        <color rgb="FF63BE7B"/>
      </colorScale>
    </cfRule>
  </conditionalFormatting>
  <conditionalFormatting sqref="CL6:CL7 CL9:CL30">
    <cfRule type="cellIs" dxfId="23" priority="3" operator="lessThan">
      <formula>3</formula>
    </cfRule>
  </conditionalFormatting>
  <conditionalFormatting sqref="CM6:CM7 CM9:CM30">
    <cfRule type="expression" dxfId="22" priority="2">
      <formula>AND(ISNUMBER(CM6),CM6&gt;$HL$4)</formula>
    </cfRule>
  </conditionalFormatting>
  <conditionalFormatting sqref="CS6:CX7 CS9:CX30 CS32:CX33 EP8">
    <cfRule type="colorScale" priority="14">
      <colorScale>
        <cfvo type="min"/>
        <cfvo type="max"/>
        <color rgb="FFFCFCFF"/>
        <color rgb="FF63BE7B"/>
      </colorScale>
    </cfRule>
  </conditionalFormatting>
  <conditionalFormatting sqref="CY6:DD7 CY9:DD30 CY32:DD33">
    <cfRule type="colorScale" priority="15">
      <colorScale>
        <cfvo type="min"/>
        <cfvo type="max"/>
        <color rgb="FFFCFCFF"/>
        <color rgb="FFF8696B"/>
      </colorScale>
    </cfRule>
  </conditionalFormatting>
  <conditionalFormatting sqref="DK8">
    <cfRule type="colorScale" priority="16">
      <colorScale>
        <cfvo type="min"/>
        <cfvo type="max"/>
        <color rgb="FFFCFCFF"/>
        <color rgb="FF63BE7B"/>
      </colorScale>
    </cfRule>
  </conditionalFormatting>
  <conditionalFormatting sqref="DL6:DQ7 DL9:DQ30 DL32:DQ33">
    <cfRule type="expression" dxfId="21" priority="11">
      <formula>AND(NOT(ISBLANK($DJ6)),DL6&gt;=$DJ6)</formula>
    </cfRule>
    <cfRule type="expression" dxfId="20" priority="12">
      <formula>AND(NOT(ISBLANK($DI6)),DL6&gt;=$DI6)</formula>
    </cfRule>
    <cfRule type="expression" dxfId="19" priority="13">
      <formula>AND(NOT(ISBLANK($DH6)),DL6&gt;=$DH6)</formula>
    </cfRule>
  </conditionalFormatting>
  <conditionalFormatting sqref="DL6:DQ7 DL9:DQ30">
    <cfRule type="expression" dxfId="18" priority="10">
      <formula>$DI6="---"</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8C771-0ECF-45F4-826B-E1F1DED9AF73}">
  <dimension ref="A1:N34"/>
  <sheetViews>
    <sheetView zoomScale="85" zoomScaleNormal="85" workbookViewId="0">
      <pane ySplit="2" topLeftCell="A3" activePane="bottomLeft" state="frozenSplit"/>
      <selection activeCell="AJ4" sqref="AJ4"/>
      <selection pane="bottomLeft" activeCell="H26" sqref="H26"/>
    </sheetView>
  </sheetViews>
  <sheetFormatPr defaultRowHeight="14.4" x14ac:dyDescent="0.3"/>
  <cols>
    <col min="2" max="2" width="5.6640625" bestFit="1" customWidth="1"/>
    <col min="3" max="3" width="3.33203125" customWidth="1"/>
    <col min="4" max="4" width="4.109375" customWidth="1"/>
    <col min="5" max="6" width="4.33203125" customWidth="1"/>
    <col min="7" max="8" width="5.33203125" customWidth="1"/>
    <col min="9" max="10" width="3.33203125" customWidth="1"/>
    <col min="11" max="12" width="4.44140625" customWidth="1"/>
    <col min="13" max="14" width="5.33203125" customWidth="1"/>
  </cols>
  <sheetData>
    <row r="1" spans="1:14" s="12" customFormat="1" ht="35.4" customHeight="1" x14ac:dyDescent="0.3">
      <c r="C1" s="233" t="s">
        <v>250</v>
      </c>
      <c r="D1" s="226"/>
      <c r="E1" s="226"/>
      <c r="F1" s="226"/>
      <c r="G1" s="226"/>
      <c r="H1" s="226"/>
      <c r="I1" s="226" t="s">
        <v>251</v>
      </c>
      <c r="J1" s="226"/>
      <c r="K1" s="226"/>
      <c r="L1" s="226"/>
      <c r="M1" s="226"/>
      <c r="N1" s="234"/>
    </row>
    <row r="2" spans="1:14" s="12" customFormat="1" ht="28.8" customHeight="1" x14ac:dyDescent="0.3">
      <c r="B2" s="196" t="s">
        <v>8</v>
      </c>
      <c r="C2" s="111" t="s">
        <v>30</v>
      </c>
      <c r="D2" s="106" t="s">
        <v>31</v>
      </c>
      <c r="E2" s="106" t="s">
        <v>32</v>
      </c>
      <c r="F2" s="106" t="s">
        <v>33</v>
      </c>
      <c r="G2" s="106" t="s">
        <v>34</v>
      </c>
      <c r="H2" s="106" t="s">
        <v>35</v>
      </c>
      <c r="I2" s="106" t="s">
        <v>30</v>
      </c>
      <c r="J2" s="106" t="s">
        <v>31</v>
      </c>
      <c r="K2" s="106" t="s">
        <v>32</v>
      </c>
      <c r="L2" s="106" t="s">
        <v>33</v>
      </c>
      <c r="M2" s="106" t="s">
        <v>34</v>
      </c>
      <c r="N2" s="107" t="s">
        <v>35</v>
      </c>
    </row>
    <row r="3" spans="1:14" x14ac:dyDescent="0.3">
      <c r="A3">
        <v>18</v>
      </c>
      <c r="B3" s="109" t="s">
        <v>7</v>
      </c>
      <c r="C3" s="137">
        <v>0</v>
      </c>
      <c r="D3" s="95">
        <v>0</v>
      </c>
      <c r="E3" s="95">
        <v>0</v>
      </c>
      <c r="F3" s="95">
        <v>0</v>
      </c>
      <c r="G3" s="95">
        <v>0</v>
      </c>
      <c r="H3" s="95">
        <v>0</v>
      </c>
      <c r="I3" s="95">
        <v>3.2782172846070226E-2</v>
      </c>
      <c r="J3" s="95">
        <v>4.0879991477940095E-2</v>
      </c>
      <c r="K3" s="95">
        <v>7.0161222450731212E-2</v>
      </c>
      <c r="L3" s="95">
        <v>7.7417100387662363E-2</v>
      </c>
      <c r="M3" s="95">
        <v>0.10244783923381887</v>
      </c>
      <c r="N3" s="96">
        <v>0.16795491696507711</v>
      </c>
    </row>
    <row r="4" spans="1:14" x14ac:dyDescent="0.3">
      <c r="A4">
        <v>17</v>
      </c>
      <c r="B4" s="109" t="s">
        <v>15</v>
      </c>
      <c r="C4" s="137">
        <v>0</v>
      </c>
      <c r="D4" s="95">
        <v>0</v>
      </c>
      <c r="E4" s="95">
        <v>0</v>
      </c>
      <c r="F4" s="95">
        <v>0</v>
      </c>
      <c r="G4" s="95">
        <v>0</v>
      </c>
      <c r="H4" s="95">
        <v>0</v>
      </c>
      <c r="I4" s="95">
        <v>3.2941563461441524E-2</v>
      </c>
      <c r="J4" s="95">
        <v>4.1885342811907013E-2</v>
      </c>
      <c r="K4" s="95">
        <v>5.9690145596522984E-2</v>
      </c>
      <c r="L4" s="95">
        <v>6.0265327800435926E-2</v>
      </c>
      <c r="M4" s="95">
        <v>6.4137052921130464E-2</v>
      </c>
      <c r="N4" s="96">
        <v>7.5764335023376247E-2</v>
      </c>
    </row>
    <row r="5" spans="1:14" x14ac:dyDescent="0.3">
      <c r="A5">
        <v>16</v>
      </c>
      <c r="B5" s="109" t="s">
        <v>14</v>
      </c>
      <c r="C5" s="137">
        <v>0</v>
      </c>
      <c r="D5" s="95">
        <v>0</v>
      </c>
      <c r="E5" s="95">
        <v>0</v>
      </c>
      <c r="F5" s="95">
        <v>0</v>
      </c>
      <c r="G5" s="95">
        <v>0</v>
      </c>
      <c r="H5" s="95">
        <v>2.5774369659396901</v>
      </c>
      <c r="I5" s="95">
        <v>5.02909903884384E-2</v>
      </c>
      <c r="J5" s="95">
        <v>9.185435045539056E-2</v>
      </c>
      <c r="K5" s="95">
        <v>0.27156843899213251</v>
      </c>
      <c r="L5" s="95">
        <v>0.52921241454344503</v>
      </c>
      <c r="M5" s="95">
        <v>0.87231239506119818</v>
      </c>
      <c r="N5" s="96">
        <v>0.96151196953037699</v>
      </c>
    </row>
    <row r="6" spans="1:14" x14ac:dyDescent="0.3">
      <c r="A6">
        <v>15</v>
      </c>
      <c r="B6" s="109" t="s">
        <v>13</v>
      </c>
      <c r="C6" s="137">
        <v>0</v>
      </c>
      <c r="D6" s="95">
        <v>0</v>
      </c>
      <c r="E6" s="95">
        <v>0</v>
      </c>
      <c r="F6" s="95">
        <v>0</v>
      </c>
      <c r="G6" s="95">
        <v>0</v>
      </c>
      <c r="H6" s="95">
        <v>0</v>
      </c>
      <c r="I6" s="95">
        <v>3.650773061179538E-2</v>
      </c>
      <c r="J6" s="95">
        <v>3.7298503393276498E-2</v>
      </c>
      <c r="K6" s="95">
        <v>3.7862017815707749E-2</v>
      </c>
      <c r="L6" s="95">
        <v>3.8301905376251007E-2</v>
      </c>
      <c r="M6" s="95">
        <v>3.8789818094390097E-2</v>
      </c>
      <c r="N6" s="96">
        <v>4.6076665987858666E-2</v>
      </c>
    </row>
    <row r="7" spans="1:14" x14ac:dyDescent="0.3">
      <c r="A7">
        <v>14</v>
      </c>
      <c r="B7" s="109" t="s">
        <v>12</v>
      </c>
      <c r="C7" s="137">
        <v>0</v>
      </c>
      <c r="D7" s="95">
        <v>0</v>
      </c>
      <c r="E7" s="95">
        <v>0</v>
      </c>
      <c r="F7" s="95">
        <v>0</v>
      </c>
      <c r="G7" s="95">
        <v>0</v>
      </c>
      <c r="H7" s="95">
        <v>0</v>
      </c>
      <c r="I7" s="95">
        <v>1.6951282090299193E-2</v>
      </c>
      <c r="J7" s="95">
        <v>1.7010524134508726E-2</v>
      </c>
      <c r="K7" s="95">
        <v>1.7010524134508726E-2</v>
      </c>
      <c r="L7" s="95">
        <v>2.35771897021925E-2</v>
      </c>
      <c r="M7" s="95">
        <v>6.8292551030845861E-2</v>
      </c>
      <c r="N7" s="96">
        <v>7.5922622519680141E-2</v>
      </c>
    </row>
    <row r="8" spans="1:14" x14ac:dyDescent="0.3">
      <c r="A8">
        <v>13</v>
      </c>
      <c r="B8" s="109" t="s">
        <v>6</v>
      </c>
      <c r="C8" s="137">
        <v>0</v>
      </c>
      <c r="D8" s="95">
        <v>0</v>
      </c>
      <c r="E8" s="95">
        <v>0</v>
      </c>
      <c r="F8" s="95">
        <v>0</v>
      </c>
      <c r="G8" s="95">
        <v>0</v>
      </c>
      <c r="H8" s="95">
        <v>0</v>
      </c>
      <c r="I8" s="95">
        <v>7.1219668082933511E-3</v>
      </c>
      <c r="J8" s="95">
        <v>7.7983764150648654E-3</v>
      </c>
      <c r="K8" s="95">
        <v>1.1319645002578687E-2</v>
      </c>
      <c r="L8" s="95">
        <v>2.2635096510098523E-2</v>
      </c>
      <c r="M8" s="95">
        <v>5.121418910455993E-2</v>
      </c>
      <c r="N8" s="96">
        <v>0.34265201639378934</v>
      </c>
    </row>
    <row r="9" spans="1:14" x14ac:dyDescent="0.3">
      <c r="A9">
        <v>12</v>
      </c>
      <c r="B9" s="109" t="s">
        <v>9</v>
      </c>
      <c r="C9" s="137">
        <v>0</v>
      </c>
      <c r="D9" s="95">
        <v>0</v>
      </c>
      <c r="E9" s="95">
        <v>18.164435946462699</v>
      </c>
      <c r="F9" s="95">
        <v>29.786102552236201</v>
      </c>
      <c r="G9" s="95">
        <v>29.786102552236201</v>
      </c>
      <c r="H9" s="95">
        <v>29.786102552236201</v>
      </c>
      <c r="I9" s="95">
        <v>6.1182573041770695E-2</v>
      </c>
      <c r="J9" s="95">
        <v>8.6023137948958536E-2</v>
      </c>
      <c r="K9" s="95">
        <v>0.3118656359981245</v>
      </c>
      <c r="L9" s="95">
        <v>0.53453025894293904</v>
      </c>
      <c r="M9" s="95">
        <v>0.88571272836939419</v>
      </c>
      <c r="N9" s="96">
        <v>2.2093094716115784</v>
      </c>
    </row>
    <row r="10" spans="1:14" x14ac:dyDescent="0.3">
      <c r="A10">
        <v>11</v>
      </c>
      <c r="B10" s="109" t="s">
        <v>18</v>
      </c>
      <c r="C10" s="137">
        <v>0</v>
      </c>
      <c r="D10" s="95">
        <v>0</v>
      </c>
      <c r="E10" s="95">
        <v>0</v>
      </c>
      <c r="F10" s="95">
        <v>0</v>
      </c>
      <c r="G10" s="95">
        <v>0</v>
      </c>
      <c r="H10" s="95">
        <v>0</v>
      </c>
      <c r="I10" s="95">
        <v>0.32401585477921208</v>
      </c>
      <c r="J10" s="95">
        <v>4.2428915267088811</v>
      </c>
      <c r="K10" s="95">
        <v>9.2522812832042831</v>
      </c>
      <c r="L10" s="95">
        <v>9.4119052936629117</v>
      </c>
      <c r="M10" s="95">
        <v>9.4970767482474159</v>
      </c>
      <c r="N10" s="96">
        <v>9.6733621782982482</v>
      </c>
    </row>
    <row r="11" spans="1:14" x14ac:dyDescent="0.3">
      <c r="A11">
        <v>10</v>
      </c>
      <c r="B11" s="109" t="s">
        <v>17</v>
      </c>
      <c r="C11" s="137">
        <v>0</v>
      </c>
      <c r="D11" s="95">
        <v>0</v>
      </c>
      <c r="E11" s="95">
        <v>0</v>
      </c>
      <c r="F11" s="95">
        <v>0</v>
      </c>
      <c r="G11" s="95">
        <v>0</v>
      </c>
      <c r="H11" s="95">
        <v>30.5460688598472</v>
      </c>
      <c r="I11" s="95">
        <v>0.10281339587038098</v>
      </c>
      <c r="J11" s="95">
        <v>0.11252836134984595</v>
      </c>
      <c r="K11" s="95">
        <v>0.20252953013464828</v>
      </c>
      <c r="L11" s="95">
        <v>0.2639032157493707</v>
      </c>
      <c r="M11" s="95">
        <v>0.2923535923173845</v>
      </c>
      <c r="N11" s="96">
        <v>0.58913331778379785</v>
      </c>
    </row>
    <row r="12" spans="1:14" x14ac:dyDescent="0.3">
      <c r="A12">
        <v>9</v>
      </c>
      <c r="B12" s="109" t="s">
        <v>16</v>
      </c>
      <c r="C12" s="137">
        <v>0</v>
      </c>
      <c r="D12" s="95">
        <v>0</v>
      </c>
      <c r="E12" s="95">
        <v>0</v>
      </c>
      <c r="F12" s="95">
        <v>0</v>
      </c>
      <c r="G12" s="95">
        <v>0</v>
      </c>
      <c r="H12" s="95">
        <v>0</v>
      </c>
      <c r="I12" s="95">
        <v>0.79938263578270063</v>
      </c>
      <c r="J12" s="95">
        <v>3.0534301714845387</v>
      </c>
      <c r="K12" s="95">
        <v>9.8379747039159433</v>
      </c>
      <c r="L12" s="95">
        <v>14.672460654610358</v>
      </c>
      <c r="M12" s="95">
        <v>18.688685514843112</v>
      </c>
      <c r="N12" s="96">
        <v>22.165613444251736</v>
      </c>
    </row>
    <row r="13" spans="1:14" x14ac:dyDescent="0.3">
      <c r="A13">
        <v>8</v>
      </c>
      <c r="B13" s="109" t="s">
        <v>4</v>
      </c>
      <c r="C13" s="137">
        <v>0</v>
      </c>
      <c r="D13" s="95">
        <v>21.1379159671595</v>
      </c>
      <c r="E13" s="95">
        <v>86.514729894441501</v>
      </c>
      <c r="F13" s="95">
        <v>96.445507439688996</v>
      </c>
      <c r="G13" s="95">
        <v>96.445507439688996</v>
      </c>
      <c r="H13" s="95">
        <v>96.445507439688996</v>
      </c>
      <c r="I13" s="95">
        <v>0.15671432971131891</v>
      </c>
      <c r="J13" s="95">
        <v>0.30624802676903706</v>
      </c>
      <c r="K13" s="95">
        <v>0.94657456185729139</v>
      </c>
      <c r="L13" s="95">
        <v>1.2486967564824414</v>
      </c>
      <c r="M13" s="95">
        <v>1.3330658710641905</v>
      </c>
      <c r="N13" s="96">
        <v>1.3741788730884943</v>
      </c>
    </row>
    <row r="14" spans="1:14" x14ac:dyDescent="0.3">
      <c r="A14">
        <v>7</v>
      </c>
      <c r="B14" s="109" t="s">
        <v>23</v>
      </c>
      <c r="C14" s="137">
        <v>58.756490073014596</v>
      </c>
      <c r="D14" s="95">
        <v>81.0004648556489</v>
      </c>
      <c r="E14" s="95">
        <v>81.0004648556489</v>
      </c>
      <c r="F14" s="95">
        <v>81.0004648556489</v>
      </c>
      <c r="G14" s="95">
        <v>81.0004648556489</v>
      </c>
      <c r="H14" s="95">
        <v>81.0004648556489</v>
      </c>
      <c r="I14" s="95">
        <v>4.039169028759706</v>
      </c>
      <c r="J14" s="95">
        <v>6.5479159583963886</v>
      </c>
      <c r="K14" s="95">
        <v>9.6659099387543694</v>
      </c>
      <c r="L14" s="95">
        <v>10.27239129306191</v>
      </c>
      <c r="M14" s="95">
        <v>10.355071277608522</v>
      </c>
      <c r="N14" s="96">
        <v>10.547435747946308</v>
      </c>
    </row>
    <row r="15" spans="1:14" x14ac:dyDescent="0.3">
      <c r="A15">
        <v>6</v>
      </c>
      <c r="B15" s="109" t="s">
        <v>41</v>
      </c>
      <c r="C15" s="137">
        <v>56.467965372482297</v>
      </c>
      <c r="D15" s="95">
        <v>56.467965372482297</v>
      </c>
      <c r="E15" s="95">
        <v>56.467965372482297</v>
      </c>
      <c r="F15" s="95">
        <v>56.467965372482297</v>
      </c>
      <c r="G15" s="95">
        <v>56.467965372482297</v>
      </c>
      <c r="H15" s="95">
        <v>56.467965372482297</v>
      </c>
      <c r="I15" s="95">
        <v>2.5056658195153259</v>
      </c>
      <c r="J15" s="95">
        <v>2.7488117430712511</v>
      </c>
      <c r="K15" s="95">
        <v>3.0487574057087339</v>
      </c>
      <c r="L15" s="95">
        <v>3.3922276705266818</v>
      </c>
      <c r="M15" s="95">
        <v>3.8125007376259488</v>
      </c>
      <c r="N15" s="96">
        <v>6.1413529187087024</v>
      </c>
    </row>
    <row r="16" spans="1:14" x14ac:dyDescent="0.3">
      <c r="A16">
        <v>5</v>
      </c>
      <c r="B16" s="109" t="s">
        <v>22</v>
      </c>
      <c r="C16" s="137">
        <v>0</v>
      </c>
      <c r="D16" s="95">
        <v>0</v>
      </c>
      <c r="E16" s="95">
        <v>0</v>
      </c>
      <c r="F16" s="95">
        <v>0</v>
      </c>
      <c r="G16" s="95">
        <v>0</v>
      </c>
      <c r="H16" s="95">
        <v>0</v>
      </c>
      <c r="I16" s="95">
        <v>0.12554131425570556</v>
      </c>
      <c r="J16" s="95">
        <v>0.15084259047889159</v>
      </c>
      <c r="K16" s="95">
        <v>2.2878221046870344</v>
      </c>
      <c r="L16" s="95">
        <v>5.9208053751392633</v>
      </c>
      <c r="M16" s="95">
        <v>11.215959271751299</v>
      </c>
      <c r="N16" s="96">
        <v>31.113623241905493</v>
      </c>
    </row>
    <row r="17" spans="1:14" x14ac:dyDescent="0.3">
      <c r="A17">
        <v>4</v>
      </c>
      <c r="B17" s="109" t="s">
        <v>21</v>
      </c>
      <c r="C17" s="137">
        <v>0</v>
      </c>
      <c r="D17" s="95">
        <v>5.4367898976397298</v>
      </c>
      <c r="E17" s="95">
        <v>20.779837489887001</v>
      </c>
      <c r="F17" s="95">
        <v>41.825688557458903</v>
      </c>
      <c r="G17" s="95">
        <v>85.056192620211704</v>
      </c>
      <c r="H17" s="95">
        <v>85.056192620211704</v>
      </c>
      <c r="I17" s="95">
        <v>9.1370719548178131E-2</v>
      </c>
      <c r="J17" s="95">
        <v>0.24557034367769268</v>
      </c>
      <c r="K17" s="95">
        <v>2.0212597922798419</v>
      </c>
      <c r="L17" s="95">
        <v>4.4569494141163295</v>
      </c>
      <c r="M17" s="95">
        <v>8.3328076089915672</v>
      </c>
      <c r="N17" s="96">
        <v>8.674584922363147</v>
      </c>
    </row>
    <row r="18" spans="1:14" x14ac:dyDescent="0.3">
      <c r="A18">
        <v>3</v>
      </c>
      <c r="B18" s="109" t="s">
        <v>2</v>
      </c>
      <c r="C18" s="137">
        <v>0</v>
      </c>
      <c r="D18" s="95">
        <v>0</v>
      </c>
      <c r="E18" s="95">
        <v>0</v>
      </c>
      <c r="F18" s="95">
        <v>0</v>
      </c>
      <c r="G18" s="95">
        <v>12.2731713466326</v>
      </c>
      <c r="H18" s="95">
        <v>199.76426838107801</v>
      </c>
      <c r="I18" s="95">
        <v>5.7069543685761559</v>
      </c>
      <c r="J18" s="95">
        <v>12.593038698273158</v>
      </c>
      <c r="K18" s="95">
        <v>14.303316293852069</v>
      </c>
      <c r="L18" s="95">
        <v>14.359468536540419</v>
      </c>
      <c r="M18" s="95">
        <v>15.636107444276197</v>
      </c>
      <c r="N18" s="96">
        <v>18.908927410056286</v>
      </c>
    </row>
    <row r="19" spans="1:14" x14ac:dyDescent="0.3">
      <c r="A19">
        <v>2</v>
      </c>
      <c r="B19" s="109" t="s">
        <v>20</v>
      </c>
      <c r="C19" s="137">
        <v>32.672462085675903</v>
      </c>
      <c r="D19" s="95">
        <v>32.672462085675903</v>
      </c>
      <c r="E19" s="95">
        <v>32.672462085675903</v>
      </c>
      <c r="F19" s="95">
        <v>32.672462085675903</v>
      </c>
      <c r="G19" s="95">
        <v>32.672462085675903</v>
      </c>
      <c r="H19" s="95">
        <v>32.672462085675903</v>
      </c>
      <c r="I19" s="95">
        <v>2.321445315147908</v>
      </c>
      <c r="J19" s="95">
        <v>2.5012131674082765</v>
      </c>
      <c r="K19" s="95">
        <v>2.5288452357088138</v>
      </c>
      <c r="L19" s="95">
        <v>2.5367200529131293</v>
      </c>
      <c r="M19" s="95">
        <v>2.5802023348956924</v>
      </c>
      <c r="N19" s="96">
        <v>2.6187687221195541</v>
      </c>
    </row>
    <row r="20" spans="1:14" ht="15" thickBot="1" x14ac:dyDescent="0.35">
      <c r="A20">
        <v>1</v>
      </c>
      <c r="B20" s="110" t="s">
        <v>19</v>
      </c>
      <c r="C20" s="138">
        <v>0</v>
      </c>
      <c r="D20" s="102">
        <v>0</v>
      </c>
      <c r="E20" s="102">
        <v>0</v>
      </c>
      <c r="F20" s="102">
        <v>0</v>
      </c>
      <c r="G20" s="102">
        <v>0</v>
      </c>
      <c r="H20" s="102">
        <v>0</v>
      </c>
      <c r="I20" s="102">
        <v>0.12761944868586303</v>
      </c>
      <c r="J20" s="102">
        <v>0.20705626313238143</v>
      </c>
      <c r="K20" s="102">
        <v>0.22729125609780332</v>
      </c>
      <c r="L20" s="102">
        <v>0.30546329095422181</v>
      </c>
      <c r="M20" s="102">
        <v>0.44125034759469145</v>
      </c>
      <c r="N20" s="103">
        <v>1.0623789251116493</v>
      </c>
    </row>
    <row r="21" spans="1:14" s="53" customFormat="1" ht="142.19999999999999" customHeight="1" thickBot="1" x14ac:dyDescent="0.35">
      <c r="A21">
        <v>19</v>
      </c>
      <c r="B21" s="165"/>
      <c r="C21" s="219" t="s">
        <v>271</v>
      </c>
      <c r="D21" s="220"/>
      <c r="E21" s="220"/>
      <c r="F21" s="220"/>
      <c r="G21" s="220"/>
      <c r="H21" s="220"/>
      <c r="I21" s="220"/>
      <c r="J21" s="220"/>
      <c r="K21" s="220"/>
      <c r="L21" s="220"/>
      <c r="M21" s="220"/>
      <c r="N21" s="221"/>
    </row>
    <row r="22" spans="1:14" s="53" customFormat="1" x14ac:dyDescent="0.3">
      <c r="A22">
        <v>20</v>
      </c>
      <c r="C22" s="62"/>
      <c r="D22" s="62"/>
      <c r="E22" s="62"/>
      <c r="F22" s="62"/>
      <c r="G22" s="62"/>
      <c r="H22" s="62"/>
      <c r="I22" s="62"/>
      <c r="J22" s="62"/>
      <c r="K22" s="62"/>
      <c r="L22" s="62"/>
      <c r="M22" s="62"/>
      <c r="N22" s="62">
        <f>MEDIAN(N3:N20)</f>
        <v>1.7917441723500365</v>
      </c>
    </row>
    <row r="23" spans="1:14" s="53" customFormat="1" x14ac:dyDescent="0.3">
      <c r="C23" s="62"/>
      <c r="D23" s="62"/>
      <c r="E23" s="62"/>
      <c r="F23" s="62"/>
      <c r="G23" s="62"/>
      <c r="H23" s="62"/>
      <c r="I23" s="62"/>
      <c r="J23" s="62"/>
      <c r="K23" s="62"/>
      <c r="L23" s="62"/>
      <c r="M23" s="62"/>
      <c r="N23" s="62"/>
    </row>
    <row r="24" spans="1:14" s="53" customFormat="1" x14ac:dyDescent="0.3">
      <c r="B24" s="49"/>
      <c r="C24" s="49"/>
      <c r="D24" s="49"/>
      <c r="E24" s="49"/>
      <c r="F24" s="49"/>
    </row>
    <row r="25" spans="1:14" s="1" customFormat="1" x14ac:dyDescent="0.3">
      <c r="B25" s="39"/>
      <c r="C25" s="39"/>
      <c r="D25" s="39"/>
      <c r="E25" s="39"/>
      <c r="F25" s="39"/>
    </row>
    <row r="26" spans="1:14" s="1" customFormat="1" x14ac:dyDescent="0.3">
      <c r="B26" s="39"/>
      <c r="C26" s="39"/>
      <c r="D26" s="39"/>
      <c r="E26" s="39"/>
      <c r="F26" s="39"/>
      <c r="M26" s="1">
        <f>6/23</f>
        <v>0.2608695652173913</v>
      </c>
    </row>
    <row r="27" spans="1:14" s="1" customFormat="1" x14ac:dyDescent="0.3">
      <c r="B27" s="39"/>
      <c r="C27" s="39"/>
      <c r="D27" s="39"/>
      <c r="E27" s="39"/>
      <c r="F27" s="39"/>
    </row>
    <row r="28" spans="1:14" s="1" customFormat="1" x14ac:dyDescent="0.3">
      <c r="B28" s="39"/>
      <c r="C28" s="39"/>
      <c r="D28" s="39"/>
      <c r="E28" s="39"/>
      <c r="F28" s="39"/>
    </row>
    <row r="29" spans="1:14" s="1" customFormat="1" x14ac:dyDescent="0.3">
      <c r="B29" s="39"/>
      <c r="C29" s="39"/>
      <c r="D29" s="39"/>
      <c r="E29" s="39"/>
      <c r="F29" s="39"/>
    </row>
    <row r="30" spans="1:14" s="1" customFormat="1" x14ac:dyDescent="0.3"/>
    <row r="31" spans="1:14" s="1" customFormat="1" x14ac:dyDescent="0.3"/>
    <row r="32" spans="1:14" s="1" customFormat="1" x14ac:dyDescent="0.3"/>
    <row r="33" s="1" customFormat="1" x14ac:dyDescent="0.3"/>
    <row r="34" s="1" customFormat="1" x14ac:dyDescent="0.3"/>
  </sheetData>
  <sortState xmlns:xlrd2="http://schemas.microsoft.com/office/spreadsheetml/2017/richdata2" ref="A3:N20">
    <sortCondition descending="1" ref="A3:A20"/>
  </sortState>
  <mergeCells count="3">
    <mergeCell ref="C21:N21"/>
    <mergeCell ref="I1:N1"/>
    <mergeCell ref="C1:H1"/>
  </mergeCells>
  <conditionalFormatting sqref="C3:H20 C22:H23">
    <cfRule type="colorScale" priority="14">
      <colorScale>
        <cfvo type="min"/>
        <cfvo type="max"/>
        <color rgb="FFFCFCFF"/>
        <color rgb="FF63BE7B"/>
      </colorScale>
    </cfRule>
  </conditionalFormatting>
  <conditionalFormatting sqref="I3:N20 I22:N23">
    <cfRule type="colorScale" priority="15">
      <colorScale>
        <cfvo type="min"/>
        <cfvo type="max"/>
        <color rgb="FFFCFCFF"/>
        <color rgb="FFF8696B"/>
      </colorScale>
    </cfRule>
  </conditionalFormatting>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FA512-FE04-407E-A399-4A369979ED31}">
  <dimension ref="A1:IM51"/>
  <sheetViews>
    <sheetView topLeftCell="CE1" zoomScale="85" zoomScaleNormal="85" workbookViewId="0">
      <pane ySplit="5" topLeftCell="A6" activePane="bottomLeft" state="frozenSplit"/>
      <selection activeCell="AJ4" sqref="AJ4"/>
      <selection pane="bottomLeft" activeCell="DR31" sqref="DR31"/>
    </sheetView>
  </sheetViews>
  <sheetFormatPr defaultRowHeight="14.4" x14ac:dyDescent="0.3"/>
  <cols>
    <col min="1" max="1" width="7.33203125" style="18" hidden="1" customWidth="1"/>
    <col min="2" max="2" width="8.33203125" hidden="1" customWidth="1"/>
    <col min="3" max="19" width="7.33203125" style="18" hidden="1" customWidth="1"/>
    <col min="20" max="20" width="8.33203125" hidden="1" customWidth="1"/>
    <col min="21" max="23" width="7.33203125" style="18" hidden="1" customWidth="1"/>
    <col min="24" max="24" width="21.6640625" style="18" hidden="1" customWidth="1"/>
    <col min="25" max="25" width="7.33203125" style="18" hidden="1" customWidth="1"/>
    <col min="26" max="27" width="21.77734375" style="18" hidden="1" customWidth="1"/>
    <col min="28" max="29" width="7.33203125" style="18" hidden="1" customWidth="1"/>
    <col min="30" max="30" width="21.6640625" style="18" hidden="1" customWidth="1"/>
    <col min="31" max="31" width="7.33203125" style="18" hidden="1" customWidth="1"/>
    <col min="32" max="32" width="21.6640625" style="18" hidden="1" customWidth="1"/>
    <col min="33" max="33" width="7.33203125" style="18" hidden="1" customWidth="1"/>
    <col min="34" max="34" width="9.6640625" hidden="1" customWidth="1"/>
    <col min="35" max="36" width="7.33203125" style="18" hidden="1" customWidth="1"/>
    <col min="37" max="37" width="11.21875" style="18" hidden="1" customWidth="1"/>
    <col min="38" max="42" width="7.33203125" style="18" hidden="1" customWidth="1"/>
    <col min="43" max="43" width="9.21875" style="18" hidden="1" customWidth="1"/>
    <col min="44" max="44" width="8.33203125" hidden="1" customWidth="1"/>
    <col min="45" max="45" width="10.6640625" style="18" hidden="1" customWidth="1"/>
    <col min="46" max="46" width="9.5546875" hidden="1" customWidth="1"/>
    <col min="47" max="47" width="7.33203125" style="18" hidden="1" customWidth="1"/>
    <col min="48" max="48" width="18" style="18" hidden="1" customWidth="1"/>
    <col min="49" max="49" width="17.109375" hidden="1" customWidth="1"/>
    <col min="50" max="50" width="33.109375" style="18" hidden="1" customWidth="1"/>
    <col min="51" max="52" width="23" style="18" hidden="1" customWidth="1"/>
    <col min="53" max="53" width="31.88671875" style="18" hidden="1" customWidth="1"/>
    <col min="54" max="54" width="7.33203125" style="18" hidden="1" customWidth="1"/>
    <col min="55" max="55" width="11.88671875" style="18" hidden="1" customWidth="1"/>
    <col min="56" max="56" width="16.77734375" style="18" hidden="1" customWidth="1"/>
    <col min="57" max="57" width="10.88671875" style="18" hidden="1" customWidth="1"/>
    <col min="58" max="58" width="17.44140625" style="18" hidden="1" customWidth="1"/>
    <col min="59" max="59" width="19.5546875" style="18" hidden="1" customWidth="1"/>
    <col min="60" max="60" width="7.33203125" style="18" hidden="1" customWidth="1"/>
    <col min="61" max="61" width="21.6640625" style="18" hidden="1" customWidth="1"/>
    <col min="62" max="62" width="7.33203125" style="18" hidden="1" customWidth="1"/>
    <col min="63" max="63" width="21.6640625" style="18" hidden="1" customWidth="1"/>
    <col min="64" max="64" width="21.6640625" style="37" hidden="1" customWidth="1"/>
    <col min="65" max="65" width="15.21875" style="18" hidden="1" customWidth="1"/>
    <col min="66" max="67" width="7.33203125" style="18" hidden="1" customWidth="1"/>
    <col min="68" max="68" width="18.21875" style="18" hidden="1" customWidth="1"/>
    <col min="69" max="69" width="20.88671875" style="36" hidden="1" customWidth="1"/>
    <col min="70" max="73" width="7.33203125" style="18" hidden="1" customWidth="1"/>
    <col min="74" max="74" width="14.77734375" style="18" hidden="1" customWidth="1"/>
    <col min="75" max="75" width="8.44140625" hidden="1" customWidth="1"/>
    <col min="76" max="76" width="8.33203125" hidden="1" customWidth="1"/>
    <col min="77" max="81" width="14.77734375" style="18" hidden="1" customWidth="1"/>
    <col min="82" max="82" width="3.77734375" style="18" hidden="1" customWidth="1"/>
    <col min="83" max="83" width="5.6640625" bestFit="1" customWidth="1"/>
    <col min="84" max="84" width="8.6640625" customWidth="1"/>
    <col min="85" max="85" width="9.6640625" customWidth="1"/>
    <col min="86" max="86" width="6.77734375" style="18" customWidth="1"/>
    <col min="87" max="87" width="5.6640625" style="18" customWidth="1"/>
    <col min="88" max="88" width="9.33203125" customWidth="1"/>
    <col min="89" max="89" width="8.109375" style="18" customWidth="1"/>
    <col min="90" max="90" width="5.5546875" style="18" customWidth="1"/>
    <col min="91" max="91" width="4.33203125" style="18" bestFit="1" customWidth="1"/>
    <col min="92" max="92" width="5.5546875" customWidth="1"/>
    <col min="93" max="93" width="8.33203125" style="87" customWidth="1"/>
    <col min="94" max="94" width="8.33203125" style="18" customWidth="1"/>
    <col min="95" max="95" width="3.33203125" customWidth="1"/>
    <col min="96" max="96" width="4.109375" customWidth="1"/>
    <col min="97" max="98" width="4.33203125" customWidth="1"/>
    <col min="99" max="100" width="5.33203125" customWidth="1"/>
    <col min="101" max="102" width="3.33203125" customWidth="1"/>
    <col min="103" max="104" width="4.44140625" customWidth="1"/>
    <col min="105" max="106" width="5.33203125" customWidth="1"/>
    <col min="107" max="109" width="6.44140625" customWidth="1"/>
    <col min="110" max="112" width="6.44140625" hidden="1" customWidth="1"/>
    <col min="113" max="113" width="7.21875" hidden="1" customWidth="1"/>
    <col min="114" max="119" width="5.33203125" customWidth="1"/>
    <col min="120" max="142" width="8.88671875" customWidth="1"/>
    <col min="143" max="143" width="5.88671875" customWidth="1"/>
    <col min="144" max="144" width="8.33203125" style="18" customWidth="1"/>
    <col min="145" max="145" width="8" customWidth="1"/>
    <col min="146" max="160" width="5.33203125" customWidth="1"/>
    <col min="161" max="161" width="3.5546875" style="18" customWidth="1"/>
    <col min="162" max="164" width="4.5546875" style="18" customWidth="1"/>
    <col min="165" max="166" width="5.33203125" style="18" customWidth="1"/>
    <col min="167" max="167" width="5.33203125" customWidth="1"/>
    <col min="168" max="168" width="9.88671875" customWidth="1"/>
    <col min="169" max="170" width="14.6640625" style="18" customWidth="1"/>
    <col min="171" max="174" width="8.88671875" style="18" customWidth="1"/>
    <col min="175" max="175" width="5.88671875" customWidth="1"/>
    <col min="176" max="180" width="8.88671875" style="18" customWidth="1"/>
    <col min="181" max="181" width="10.44140625" style="18" customWidth="1"/>
    <col min="182" max="182" width="8.88671875" style="18" customWidth="1"/>
    <col min="183" max="192" width="10.44140625" style="18" customWidth="1"/>
    <col min="193" max="193" width="5.33203125" customWidth="1"/>
    <col min="194" max="194" width="5.6640625" customWidth="1"/>
    <col min="195" max="205" width="5.33203125" customWidth="1"/>
    <col min="206" max="215" width="8.88671875" customWidth="1"/>
  </cols>
  <sheetData>
    <row r="1" spans="1:219" ht="28.2" hidden="1" customHeight="1" thickBot="1" x14ac:dyDescent="0.35">
      <c r="U1" s="225" t="s">
        <v>166</v>
      </c>
      <c r="V1" s="225"/>
      <c r="W1" s="225"/>
      <c r="X1" s="225"/>
      <c r="Y1" s="225"/>
      <c r="Z1" s="225"/>
      <c r="AA1" s="225"/>
      <c r="AB1" s="123"/>
      <c r="AC1" s="225" t="s">
        <v>167</v>
      </c>
      <c r="AD1" s="225"/>
      <c r="AE1" s="225"/>
      <c r="AF1" s="225"/>
      <c r="AG1" s="123"/>
      <c r="AH1" s="123"/>
      <c r="AI1" s="123"/>
      <c r="AJ1" s="123"/>
      <c r="AK1" s="123"/>
      <c r="AL1" s="124"/>
      <c r="AM1" s="124"/>
      <c r="AN1" s="124"/>
      <c r="AO1" s="124"/>
      <c r="AP1" s="124"/>
      <c r="AQ1" s="123"/>
      <c r="AR1" s="123"/>
      <c r="AS1" s="124"/>
      <c r="AT1" s="123"/>
      <c r="AU1" s="123"/>
      <c r="AV1" s="123"/>
      <c r="AW1" s="124"/>
      <c r="AX1" s="123"/>
      <c r="AY1" s="124"/>
      <c r="AZ1" s="124"/>
      <c r="BA1" s="124"/>
      <c r="BB1" s="124"/>
      <c r="BC1" s="125" t="s">
        <v>197</v>
      </c>
      <c r="BD1" s="126">
        <v>1.4</v>
      </c>
      <c r="BE1" s="124"/>
      <c r="BF1" s="124"/>
      <c r="BG1" s="124"/>
      <c r="BH1" s="225"/>
      <c r="BI1" s="225"/>
      <c r="BJ1" s="225"/>
      <c r="BK1" s="225"/>
      <c r="BL1" s="225"/>
      <c r="BM1" s="123"/>
      <c r="BN1" s="225"/>
      <c r="BO1" s="225"/>
      <c r="BP1" s="225"/>
      <c r="BQ1" s="225"/>
      <c r="BR1" s="225"/>
      <c r="BS1" s="225"/>
      <c r="BT1" s="225"/>
      <c r="BU1" s="225"/>
      <c r="BV1" s="123"/>
      <c r="BW1" s="141"/>
      <c r="BX1" s="123"/>
      <c r="BY1" s="141"/>
      <c r="BZ1" s="141"/>
      <c r="CA1" s="141"/>
      <c r="CB1" s="141"/>
      <c r="CC1" s="141"/>
      <c r="CD1" s="141"/>
      <c r="CE1" s="104"/>
      <c r="CF1" s="167"/>
      <c r="CH1" s="188"/>
      <c r="CI1" s="188"/>
      <c r="CJ1" s="188"/>
      <c r="CK1" s="188"/>
      <c r="CL1" s="188"/>
      <c r="CM1" s="188"/>
      <c r="CN1" s="189"/>
      <c r="CO1" s="244"/>
      <c r="CP1" s="237"/>
      <c r="CQ1" s="237"/>
      <c r="CR1" s="237"/>
      <c r="CS1" s="237"/>
      <c r="CT1" s="237"/>
      <c r="CU1" s="237"/>
      <c r="CV1" s="237"/>
      <c r="CW1" s="237"/>
      <c r="CX1" s="237"/>
      <c r="CY1" s="237"/>
      <c r="CZ1" s="237"/>
      <c r="DA1" s="237"/>
      <c r="DB1" s="237"/>
      <c r="DC1" s="237"/>
      <c r="DD1" s="237"/>
      <c r="DE1" s="237"/>
      <c r="DF1" s="237"/>
      <c r="DG1" s="237"/>
      <c r="DH1" s="237"/>
      <c r="DI1" s="237"/>
      <c r="DJ1" s="237"/>
      <c r="DK1" s="237"/>
      <c r="DL1" s="237"/>
      <c r="DM1" s="237"/>
      <c r="DN1" s="237"/>
      <c r="DO1" s="245"/>
      <c r="EM1" s="113" t="s">
        <v>205</v>
      </c>
      <c r="EN1" s="114"/>
      <c r="EO1" s="115"/>
      <c r="EP1" s="115"/>
      <c r="EQ1" s="115"/>
      <c r="ER1" s="115"/>
      <c r="ES1" s="115"/>
      <c r="ET1" s="115"/>
      <c r="EU1" s="115"/>
      <c r="EV1" s="115"/>
      <c r="EW1" s="115"/>
      <c r="EX1" s="115"/>
      <c r="EY1" s="115"/>
      <c r="EZ1" s="115"/>
      <c r="FA1" s="115"/>
      <c r="FB1" s="115"/>
      <c r="FC1" s="115"/>
      <c r="FD1" s="116"/>
      <c r="FE1" s="241" t="s">
        <v>256</v>
      </c>
      <c r="FF1" s="242"/>
      <c r="FG1" s="242"/>
      <c r="FH1" s="242"/>
      <c r="FI1" s="242"/>
      <c r="FJ1" s="243"/>
      <c r="FK1" s="21"/>
      <c r="FL1" s="3"/>
      <c r="FM1" s="5"/>
      <c r="FN1" s="5"/>
      <c r="FO1" s="5"/>
      <c r="FP1" s="5"/>
      <c r="FQ1" s="5"/>
      <c r="FR1" s="5"/>
      <c r="FS1" s="5"/>
      <c r="FT1" s="5"/>
      <c r="FU1" s="5"/>
      <c r="FV1" s="5"/>
      <c r="FW1" s="5"/>
      <c r="FX1" s="5"/>
      <c r="FY1" s="241" t="s">
        <v>257</v>
      </c>
      <c r="FZ1" s="242"/>
      <c r="GA1" s="243"/>
      <c r="GB1" s="21"/>
      <c r="GC1" s="21"/>
      <c r="GD1" s="236" t="s">
        <v>67</v>
      </c>
      <c r="GE1" s="236"/>
      <c r="GF1" s="236"/>
      <c r="GG1" s="236"/>
      <c r="GH1" s="236"/>
      <c r="GI1" s="236"/>
      <c r="GJ1" s="21"/>
      <c r="GK1" s="21"/>
      <c r="GL1" s="21"/>
      <c r="GM1" s="236" t="s">
        <v>55</v>
      </c>
      <c r="GN1" s="236"/>
      <c r="GO1" s="236"/>
      <c r="GP1" s="240" t="s">
        <v>66</v>
      </c>
      <c r="GQ1" s="240"/>
      <c r="GR1" s="240"/>
      <c r="GS1" s="240"/>
      <c r="GT1" s="240"/>
      <c r="GU1" s="240"/>
      <c r="GV1" s="21"/>
      <c r="GW1" s="21"/>
    </row>
    <row r="2" spans="1:219" ht="28.2" hidden="1" customHeight="1" thickBot="1" x14ac:dyDescent="0.35">
      <c r="A2" s="122">
        <f>COUNTIF(AB2:ZL4,"data")</f>
        <v>38</v>
      </c>
      <c r="B2" s="123" t="s">
        <v>260</v>
      </c>
      <c r="C2" s="123"/>
      <c r="D2" s="123"/>
      <c r="E2" s="123"/>
      <c r="F2" s="123"/>
      <c r="G2" s="123"/>
      <c r="H2" s="123"/>
      <c r="I2" s="123"/>
      <c r="J2" s="123"/>
      <c r="K2" s="123"/>
      <c r="L2" s="123"/>
      <c r="M2" s="123" t="s">
        <v>260</v>
      </c>
      <c r="N2" s="123"/>
      <c r="O2" s="123"/>
      <c r="P2" s="123"/>
      <c r="Q2" s="123"/>
      <c r="R2" s="123"/>
      <c r="S2" s="123" t="s">
        <v>260</v>
      </c>
      <c r="T2" s="123" t="s">
        <v>260</v>
      </c>
      <c r="U2" s="152" t="s">
        <v>260</v>
      </c>
      <c r="V2" s="152" t="s">
        <v>260</v>
      </c>
      <c r="W2" s="152" t="s">
        <v>260</v>
      </c>
      <c r="X2" s="152" t="s">
        <v>260</v>
      </c>
      <c r="Y2" s="152" t="s">
        <v>260</v>
      </c>
      <c r="Z2" s="152" t="s">
        <v>260</v>
      </c>
      <c r="AA2" s="152" t="s">
        <v>260</v>
      </c>
      <c r="AB2" s="152" t="s">
        <v>260</v>
      </c>
      <c r="AC2" s="152" t="s">
        <v>260</v>
      </c>
      <c r="AD2" s="152" t="s">
        <v>260</v>
      </c>
      <c r="AE2" s="152" t="s">
        <v>260</v>
      </c>
      <c r="AF2" s="152" t="s">
        <v>260</v>
      </c>
      <c r="AG2" s="152" t="s">
        <v>260</v>
      </c>
      <c r="AH2" s="152" t="s">
        <v>260</v>
      </c>
      <c r="AI2" s="152" t="s">
        <v>260</v>
      </c>
      <c r="AJ2" s="152" t="s">
        <v>260</v>
      </c>
      <c r="AK2" s="152" t="s">
        <v>260</v>
      </c>
      <c r="AL2" s="152" t="s">
        <v>260</v>
      </c>
      <c r="AM2" s="152" t="s">
        <v>260</v>
      </c>
      <c r="AN2" s="152" t="s">
        <v>260</v>
      </c>
      <c r="AO2" s="152" t="s">
        <v>260</v>
      </c>
      <c r="AP2" s="152" t="s">
        <v>260</v>
      </c>
      <c r="AQ2" s="152" t="s">
        <v>260</v>
      </c>
      <c r="AR2" s="152" t="s">
        <v>260</v>
      </c>
      <c r="AS2" s="152" t="s">
        <v>260</v>
      </c>
      <c r="AT2" s="152" t="s">
        <v>260</v>
      </c>
      <c r="AU2" s="152" t="s">
        <v>260</v>
      </c>
      <c r="AV2" s="152"/>
      <c r="AW2" s="152" t="s">
        <v>260</v>
      </c>
      <c r="AX2" s="152" t="s">
        <v>260</v>
      </c>
      <c r="AY2" s="152" t="s">
        <v>260</v>
      </c>
      <c r="AZ2" s="153"/>
      <c r="BA2" s="153"/>
      <c r="BB2" s="152" t="s">
        <v>260</v>
      </c>
      <c r="BC2" s="154"/>
      <c r="BD2" s="74"/>
      <c r="BE2" s="152" t="s">
        <v>260</v>
      </c>
      <c r="BF2" s="152" t="s">
        <v>260</v>
      </c>
      <c r="BG2" s="152" t="s">
        <v>260</v>
      </c>
      <c r="BH2" s="152" t="s">
        <v>260</v>
      </c>
      <c r="BI2" s="152"/>
      <c r="BJ2" s="152" t="s">
        <v>260</v>
      </c>
      <c r="BK2" s="152"/>
      <c r="BL2" s="152"/>
      <c r="BM2" s="152" t="s">
        <v>260</v>
      </c>
      <c r="BN2" s="152" t="s">
        <v>260</v>
      </c>
      <c r="BO2" s="152" t="s">
        <v>260</v>
      </c>
      <c r="BP2" s="152"/>
      <c r="BQ2" s="152"/>
      <c r="BR2" s="152" t="s">
        <v>260</v>
      </c>
      <c r="BS2" s="152" t="s">
        <v>260</v>
      </c>
      <c r="BT2" s="152" t="s">
        <v>260</v>
      </c>
      <c r="BU2" s="152" t="s">
        <v>260</v>
      </c>
      <c r="BV2" s="152" t="s">
        <v>260</v>
      </c>
      <c r="BW2" s="156"/>
      <c r="BX2" s="152" t="s">
        <v>260</v>
      </c>
      <c r="BY2" s="156"/>
      <c r="BZ2" s="156"/>
      <c r="CA2" s="156"/>
      <c r="CB2" s="156"/>
      <c r="CC2" s="156"/>
      <c r="CD2" s="156"/>
      <c r="CE2" s="127"/>
      <c r="CF2" s="168"/>
      <c r="CG2" s="190"/>
      <c r="CH2" s="191"/>
      <c r="CI2" s="191"/>
      <c r="CJ2" s="191"/>
      <c r="CK2" s="191"/>
      <c r="CL2" s="191"/>
      <c r="CM2" s="191"/>
      <c r="CN2" s="192"/>
      <c r="CO2" s="143"/>
      <c r="CP2" s="157"/>
      <c r="CQ2" s="143"/>
      <c r="CR2" s="134"/>
      <c r="CS2" s="134"/>
      <c r="CT2" s="134"/>
      <c r="CU2" s="134"/>
      <c r="CV2" s="134"/>
      <c r="CW2" s="134"/>
      <c r="CX2" s="134"/>
      <c r="CY2" s="134"/>
      <c r="CZ2" s="134"/>
      <c r="DA2" s="134"/>
      <c r="DB2" s="157"/>
      <c r="DC2" s="134"/>
      <c r="DD2" s="134"/>
      <c r="DE2" s="134"/>
      <c r="DF2" s="134"/>
      <c r="DG2" s="134"/>
      <c r="DH2" s="134"/>
      <c r="DI2" s="134"/>
      <c r="DJ2" s="134"/>
      <c r="DK2" s="134"/>
      <c r="DL2" s="134"/>
      <c r="DM2" s="134"/>
      <c r="DN2" s="134"/>
      <c r="DO2" s="135"/>
      <c r="EM2" s="158"/>
      <c r="EN2" s="159"/>
      <c r="EO2" s="115"/>
      <c r="EP2" s="115"/>
      <c r="EQ2" s="115"/>
      <c r="ER2" s="115"/>
      <c r="ES2" s="115"/>
      <c r="ET2" s="115"/>
      <c r="EU2" s="115"/>
      <c r="EV2" s="115"/>
      <c r="EW2" s="115"/>
      <c r="EX2" s="115"/>
      <c r="EY2" s="115"/>
      <c r="EZ2" s="115"/>
      <c r="FA2" s="115"/>
      <c r="FB2" s="115"/>
      <c r="FC2" s="115"/>
      <c r="FD2" s="116"/>
      <c r="FE2" s="117"/>
      <c r="FF2" s="118"/>
      <c r="FG2" s="118"/>
      <c r="FH2" s="118"/>
      <c r="FI2" s="118"/>
      <c r="FJ2" s="115"/>
      <c r="FK2" s="21"/>
      <c r="FL2" s="3"/>
      <c r="FM2" s="5"/>
      <c r="FN2" s="5"/>
      <c r="FO2" s="5"/>
      <c r="FP2" s="5"/>
      <c r="FQ2" s="5"/>
      <c r="FR2" s="5"/>
      <c r="FS2" s="160"/>
      <c r="FT2" s="5"/>
      <c r="FU2" s="5"/>
      <c r="FV2" s="5"/>
      <c r="FW2" s="5"/>
      <c r="FX2" s="5"/>
      <c r="FY2" s="117"/>
      <c r="FZ2" s="118"/>
      <c r="GA2" s="115"/>
      <c r="GB2" s="21"/>
      <c r="GC2" s="21"/>
      <c r="GD2" s="21"/>
      <c r="GE2" s="21"/>
      <c r="GF2" s="21"/>
      <c r="GG2" s="21"/>
      <c r="GH2" s="21"/>
      <c r="GI2" s="21"/>
      <c r="GJ2" s="21"/>
      <c r="GK2" s="21"/>
      <c r="GL2" s="21"/>
      <c r="GM2" s="21"/>
      <c r="GN2" s="21"/>
      <c r="GO2" s="21"/>
      <c r="GP2" s="119"/>
      <c r="GQ2" s="119"/>
      <c r="GR2" s="119"/>
      <c r="GS2" s="119"/>
      <c r="GT2" s="119"/>
      <c r="GU2" s="119"/>
      <c r="GV2" s="21"/>
      <c r="GW2" s="21"/>
    </row>
    <row r="3" spans="1:219" ht="28.2" hidden="1" customHeight="1" thickBot="1" x14ac:dyDescent="0.35">
      <c r="A3" s="155">
        <f>COUNTIF(B1:XFD5,"weak")</f>
        <v>6</v>
      </c>
      <c r="B3" s="152"/>
      <c r="C3" s="152"/>
      <c r="D3" s="152"/>
      <c r="E3" s="152"/>
      <c r="F3" s="152"/>
      <c r="G3" s="152"/>
      <c r="H3" s="152"/>
      <c r="I3" s="152"/>
      <c r="J3" s="152"/>
      <c r="K3" s="152"/>
      <c r="L3" s="152"/>
      <c r="M3" s="152"/>
      <c r="N3" s="152"/>
      <c r="O3" s="152"/>
      <c r="P3" s="152"/>
      <c r="Q3" s="152"/>
      <c r="R3" s="152"/>
      <c r="S3" s="152"/>
      <c r="T3" s="152"/>
      <c r="U3" s="152"/>
      <c r="V3" s="152"/>
      <c r="W3" s="152"/>
      <c r="X3" s="152"/>
      <c r="Y3" s="152"/>
      <c r="Z3" s="152"/>
      <c r="AA3" s="152"/>
      <c r="AB3" s="152"/>
      <c r="AC3" s="152"/>
      <c r="AD3" s="152"/>
      <c r="AE3" s="152"/>
      <c r="AF3" s="152"/>
      <c r="AG3" s="152"/>
      <c r="AH3" s="152"/>
      <c r="AI3" s="152"/>
      <c r="AJ3" s="152"/>
      <c r="AK3" s="152"/>
      <c r="AL3" s="153"/>
      <c r="AM3" s="153"/>
      <c r="AN3" s="153"/>
      <c r="AO3" s="153"/>
      <c r="AP3" s="153"/>
      <c r="AQ3" s="152"/>
      <c r="AR3" s="152"/>
      <c r="AS3" s="153"/>
      <c r="AT3" s="152"/>
      <c r="AU3" s="152"/>
      <c r="AV3" s="152" t="s">
        <v>258</v>
      </c>
      <c r="AW3" s="153" t="s">
        <v>259</v>
      </c>
      <c r="AX3" s="152" t="s">
        <v>259</v>
      </c>
      <c r="AY3" s="153" t="s">
        <v>258</v>
      </c>
      <c r="AZ3" s="153"/>
      <c r="BA3" s="153"/>
      <c r="BB3" s="153"/>
      <c r="BC3" s="154"/>
      <c r="BE3" s="153"/>
      <c r="BF3" s="153" t="s">
        <v>259</v>
      </c>
      <c r="BG3" s="153" t="s">
        <v>259</v>
      </c>
      <c r="BH3" s="152"/>
      <c r="BI3" s="152"/>
      <c r="BJ3" s="152"/>
      <c r="BK3" s="152"/>
      <c r="BL3" s="152"/>
      <c r="BM3" s="152" t="s">
        <v>259</v>
      </c>
      <c r="BN3" s="152"/>
      <c r="BO3" s="152"/>
      <c r="BP3" s="152"/>
      <c r="BQ3" s="152" t="s">
        <v>259</v>
      </c>
      <c r="BR3" s="152"/>
      <c r="BS3" s="152"/>
      <c r="BT3" s="152"/>
      <c r="BU3" s="152"/>
      <c r="BV3" s="152"/>
      <c r="BW3" s="156"/>
      <c r="BX3" s="152"/>
      <c r="BY3" s="156"/>
      <c r="BZ3" s="156"/>
      <c r="CA3" s="156"/>
      <c r="CB3" s="156"/>
      <c r="CC3" s="156"/>
      <c r="CD3" s="156"/>
      <c r="CE3" s="127"/>
      <c r="CF3" s="168"/>
      <c r="CG3" s="190"/>
      <c r="CH3" s="191"/>
      <c r="CI3" s="191"/>
      <c r="CJ3" s="191"/>
      <c r="CK3" s="191"/>
      <c r="CL3" s="191"/>
      <c r="CM3" s="191"/>
      <c r="CN3" s="192"/>
      <c r="CO3" s="143"/>
      <c r="CP3" s="157"/>
      <c r="CQ3" s="143"/>
      <c r="CR3" s="134"/>
      <c r="CS3" s="134"/>
      <c r="CT3" s="134"/>
      <c r="CU3" s="134"/>
      <c r="CV3" s="134"/>
      <c r="CW3" s="134"/>
      <c r="CX3" s="134"/>
      <c r="CY3" s="134"/>
      <c r="CZ3" s="134"/>
      <c r="DA3" s="134"/>
      <c r="DB3" s="157"/>
      <c r="DC3" s="134"/>
      <c r="DD3" s="134"/>
      <c r="DE3" s="134"/>
      <c r="DF3" s="134"/>
      <c r="DG3" s="134"/>
      <c r="DH3" s="134"/>
      <c r="DI3" s="134"/>
      <c r="DJ3" s="134"/>
      <c r="DK3" s="134"/>
      <c r="DL3" s="134"/>
      <c r="DM3" s="134"/>
      <c r="DN3" s="134"/>
      <c r="DO3" s="135"/>
      <c r="EM3" s="158"/>
      <c r="EN3" s="159"/>
      <c r="EO3" s="115"/>
      <c r="EP3" s="115"/>
      <c r="EQ3" s="115"/>
      <c r="ER3" s="115"/>
      <c r="ES3" s="115"/>
      <c r="ET3" s="115"/>
      <c r="EU3" s="115"/>
      <c r="EV3" s="115"/>
      <c r="EW3" s="115"/>
      <c r="EX3" s="115"/>
      <c r="EY3" s="115"/>
      <c r="EZ3" s="115"/>
      <c r="FA3" s="115"/>
      <c r="FB3" s="115"/>
      <c r="FC3" s="115"/>
      <c r="FD3" s="116"/>
      <c r="FE3" s="117"/>
      <c r="FF3" s="118"/>
      <c r="FG3" s="118"/>
      <c r="FH3" s="118"/>
      <c r="FI3" s="118"/>
      <c r="FJ3" s="115"/>
      <c r="FK3" s="21"/>
      <c r="FL3" s="3"/>
      <c r="FM3" s="5"/>
      <c r="FN3" s="5"/>
      <c r="FO3" s="5"/>
      <c r="FP3" s="5"/>
      <c r="FQ3" s="5"/>
      <c r="FR3" s="5"/>
      <c r="FS3" s="160"/>
      <c r="FT3" s="5"/>
      <c r="FU3" s="5"/>
      <c r="FV3" s="5"/>
      <c r="FW3" s="5"/>
      <c r="FX3" s="5"/>
      <c r="FY3" s="117"/>
      <c r="FZ3" s="118"/>
      <c r="GA3" s="115"/>
      <c r="GB3" s="21"/>
      <c r="GC3" s="21"/>
      <c r="GD3" s="21"/>
      <c r="GE3" s="21"/>
      <c r="GF3" s="21"/>
      <c r="GG3" s="21"/>
      <c r="GH3" s="21"/>
      <c r="GI3" s="21"/>
      <c r="GJ3" s="21"/>
      <c r="GK3" s="21"/>
      <c r="GL3" s="21"/>
      <c r="GM3" s="21"/>
      <c r="GN3" s="21"/>
      <c r="GO3" s="21"/>
      <c r="GP3" s="119"/>
      <c r="GQ3" s="119"/>
      <c r="GR3" s="119"/>
      <c r="GS3" s="119"/>
      <c r="GT3" s="119"/>
      <c r="GU3" s="119"/>
      <c r="GV3" s="21"/>
      <c r="GW3" s="21"/>
    </row>
    <row r="4" spans="1:219" s="12" customFormat="1" ht="35.4" customHeight="1" x14ac:dyDescent="0.3">
      <c r="A4" s="106" t="s">
        <v>194</v>
      </c>
      <c r="B4" s="106" t="s">
        <v>194</v>
      </c>
      <c r="C4" s="106" t="s">
        <v>194</v>
      </c>
      <c r="D4" s="106" t="s">
        <v>194</v>
      </c>
      <c r="E4" s="106" t="s">
        <v>194</v>
      </c>
      <c r="F4" s="106" t="s">
        <v>194</v>
      </c>
      <c r="G4" s="106" t="s">
        <v>194</v>
      </c>
      <c r="H4" s="106" t="s">
        <v>194</v>
      </c>
      <c r="I4" s="106" t="s">
        <v>194</v>
      </c>
      <c r="J4" s="106" t="s">
        <v>194</v>
      </c>
      <c r="K4" s="106" t="s">
        <v>194</v>
      </c>
      <c r="L4" s="106" t="s">
        <v>194</v>
      </c>
      <c r="M4" s="106" t="s">
        <v>194</v>
      </c>
      <c r="N4" s="106" t="s">
        <v>194</v>
      </c>
      <c r="O4" s="106" t="s">
        <v>194</v>
      </c>
      <c r="P4" s="106" t="s">
        <v>194</v>
      </c>
      <c r="Q4" s="106" t="s">
        <v>194</v>
      </c>
      <c r="R4" s="106" t="s">
        <v>194</v>
      </c>
      <c r="S4" s="106" t="s">
        <v>194</v>
      </c>
      <c r="T4" s="106" t="s">
        <v>194</v>
      </c>
      <c r="U4" s="106" t="s">
        <v>194</v>
      </c>
      <c r="V4" s="106" t="s">
        <v>194</v>
      </c>
      <c r="W4" s="106" t="s">
        <v>194</v>
      </c>
      <c r="X4" s="106" t="s">
        <v>194</v>
      </c>
      <c r="Y4" s="106" t="s">
        <v>194</v>
      </c>
      <c r="Z4" s="106" t="s">
        <v>194</v>
      </c>
      <c r="AA4" s="106" t="s">
        <v>194</v>
      </c>
      <c r="AB4" s="106" t="s">
        <v>194</v>
      </c>
      <c r="AC4" s="106" t="s">
        <v>194</v>
      </c>
      <c r="AD4" s="106" t="s">
        <v>194</v>
      </c>
      <c r="AE4" s="106" t="s">
        <v>194</v>
      </c>
      <c r="AF4" s="106" t="s">
        <v>194</v>
      </c>
      <c r="AG4" s="106" t="s">
        <v>194</v>
      </c>
      <c r="AH4" s="106" t="s">
        <v>194</v>
      </c>
      <c r="AI4" s="106" t="s">
        <v>194</v>
      </c>
      <c r="AJ4" s="106" t="s">
        <v>194</v>
      </c>
      <c r="AK4" s="106" t="s">
        <v>194</v>
      </c>
      <c r="AL4" s="106" t="s">
        <v>194</v>
      </c>
      <c r="AM4" s="106" t="s">
        <v>194</v>
      </c>
      <c r="AN4" s="106" t="s">
        <v>194</v>
      </c>
      <c r="AO4" s="106" t="s">
        <v>194</v>
      </c>
      <c r="AP4" s="106" t="s">
        <v>194</v>
      </c>
      <c r="AQ4" s="106" t="s">
        <v>194</v>
      </c>
      <c r="AR4" s="106" t="s">
        <v>194</v>
      </c>
      <c r="AS4" s="106" t="s">
        <v>194</v>
      </c>
      <c r="AT4" s="106" t="s">
        <v>194</v>
      </c>
      <c r="AU4" s="106" t="s">
        <v>194</v>
      </c>
      <c r="AV4" s="106" t="s">
        <v>190</v>
      </c>
      <c r="AW4" s="106" t="s">
        <v>194</v>
      </c>
      <c r="AX4" s="106" t="s">
        <v>194</v>
      </c>
      <c r="AY4" s="106" t="s">
        <v>194</v>
      </c>
      <c r="AZ4" s="106"/>
      <c r="BA4" s="106" t="s">
        <v>198</v>
      </c>
      <c r="BB4" s="106" t="s">
        <v>194</v>
      </c>
      <c r="BC4" s="106" t="s">
        <v>187</v>
      </c>
      <c r="BD4" s="106" t="str">
        <f>CONCATENATE("Is the rounded incision less than or greater than ",BD1)</f>
        <v>Is the rounded incision less than or greater than 1.4</v>
      </c>
      <c r="BE4" s="106" t="s">
        <v>194</v>
      </c>
      <c r="BF4" s="106" t="s">
        <v>194</v>
      </c>
      <c r="BG4" s="106" t="s">
        <v>194</v>
      </c>
      <c r="BH4" s="106" t="s">
        <v>194</v>
      </c>
      <c r="BI4" s="106" t="s">
        <v>195</v>
      </c>
      <c r="BJ4" s="106" t="s">
        <v>194</v>
      </c>
      <c r="BK4" s="106" t="s">
        <v>196</v>
      </c>
      <c r="BL4" s="106" t="s">
        <v>189</v>
      </c>
      <c r="BM4" s="106" t="s">
        <v>199</v>
      </c>
      <c r="BN4" s="106" t="s">
        <v>194</v>
      </c>
      <c r="BO4" s="106" t="s">
        <v>194</v>
      </c>
      <c r="BP4" s="106" t="s">
        <v>191</v>
      </c>
      <c r="BQ4" s="106" t="s">
        <v>193</v>
      </c>
      <c r="BR4" s="106" t="s">
        <v>194</v>
      </c>
      <c r="BS4" s="106" t="s">
        <v>194</v>
      </c>
      <c r="BT4" s="106" t="s">
        <v>194</v>
      </c>
      <c r="BU4" s="106" t="s">
        <v>194</v>
      </c>
      <c r="BV4" s="106" t="s">
        <v>194</v>
      </c>
      <c r="BW4" s="174"/>
      <c r="BX4" s="106" t="s">
        <v>194</v>
      </c>
      <c r="BY4" s="174"/>
      <c r="BZ4" s="174"/>
      <c r="CA4" s="174"/>
      <c r="CB4" s="174"/>
      <c r="CC4" s="174"/>
      <c r="CD4" s="174"/>
      <c r="CE4" s="252" t="s">
        <v>8</v>
      </c>
      <c r="CF4" s="253" t="s">
        <v>275</v>
      </c>
      <c r="CG4" s="254" t="s">
        <v>247</v>
      </c>
      <c r="CH4" s="255"/>
      <c r="CI4" s="255"/>
      <c r="CJ4" s="255"/>
      <c r="CK4" s="255"/>
      <c r="CL4" s="255"/>
      <c r="CM4" s="255"/>
      <c r="CN4" s="256"/>
      <c r="CO4" s="249" t="s">
        <v>263</v>
      </c>
      <c r="CP4" s="234"/>
      <c r="CQ4" s="233" t="s">
        <v>250</v>
      </c>
      <c r="CR4" s="226"/>
      <c r="CS4" s="226"/>
      <c r="CT4" s="226"/>
      <c r="CU4" s="226"/>
      <c r="CV4" s="226"/>
      <c r="CW4" s="226" t="s">
        <v>251</v>
      </c>
      <c r="CX4" s="226"/>
      <c r="CY4" s="226"/>
      <c r="CZ4" s="226"/>
      <c r="DA4" s="226"/>
      <c r="DB4" s="234"/>
      <c r="DC4" s="226" t="s">
        <v>252</v>
      </c>
      <c r="DD4" s="226"/>
      <c r="DE4" s="226"/>
      <c r="DF4" s="226" t="s">
        <v>252</v>
      </c>
      <c r="DG4" s="226"/>
      <c r="DH4" s="226"/>
      <c r="DI4" s="233" t="s">
        <v>51</v>
      </c>
      <c r="DJ4" s="226" t="s">
        <v>249</v>
      </c>
      <c r="DK4" s="226"/>
      <c r="DL4" s="226"/>
      <c r="DM4" s="226"/>
      <c r="DN4" s="226"/>
      <c r="DO4" s="234"/>
      <c r="EM4" s="108" t="s">
        <v>8</v>
      </c>
      <c r="EN4" s="166" t="s">
        <v>53</v>
      </c>
      <c r="EO4" s="73"/>
      <c r="EP4" s="73"/>
      <c r="EQ4" s="73"/>
      <c r="ER4" s="73"/>
      <c r="ES4" s="73"/>
      <c r="ET4" s="73"/>
      <c r="EU4" s="73"/>
      <c r="EV4" s="73"/>
      <c r="EW4" s="73"/>
      <c r="EX4" s="73"/>
      <c r="EY4" s="73"/>
      <c r="EZ4" s="73"/>
      <c r="FA4" s="73"/>
      <c r="FB4" s="73"/>
      <c r="FC4" s="73"/>
      <c r="FD4" s="24"/>
      <c r="FE4" s="175"/>
      <c r="FF4" s="176"/>
      <c r="FG4" s="176"/>
      <c r="FH4" s="176"/>
      <c r="FI4" s="176"/>
      <c r="FJ4" s="73"/>
      <c r="FK4" s="13"/>
      <c r="FL4" s="2"/>
      <c r="FM4" s="2"/>
      <c r="FN4" s="2"/>
      <c r="FO4" s="2"/>
      <c r="FP4" s="2"/>
      <c r="FQ4" s="2"/>
      <c r="FR4" s="2"/>
      <c r="FS4" s="177" t="s">
        <v>8</v>
      </c>
      <c r="FT4" s="2"/>
      <c r="FU4" s="2"/>
      <c r="FV4" s="2"/>
      <c r="FW4" s="2"/>
      <c r="FX4" s="2"/>
      <c r="FY4" s="175"/>
      <c r="FZ4" s="176"/>
      <c r="GA4" s="73"/>
      <c r="GB4" s="13"/>
      <c r="GC4" s="13"/>
      <c r="GD4" s="13"/>
      <c r="GE4" s="13"/>
      <c r="GF4" s="13"/>
      <c r="GG4" s="13"/>
      <c r="GH4" s="13"/>
      <c r="GI4" s="13"/>
      <c r="GJ4" s="13"/>
      <c r="GK4" s="13"/>
      <c r="GL4" s="13"/>
      <c r="GM4" s="13"/>
      <c r="GN4" s="13"/>
      <c r="GO4" s="13"/>
      <c r="GP4" s="178"/>
      <c r="GQ4" s="178"/>
      <c r="GR4" s="178"/>
      <c r="GS4" s="178"/>
      <c r="GT4" s="178"/>
      <c r="GU4" s="178"/>
      <c r="GV4" s="13"/>
      <c r="GW4" s="13"/>
      <c r="HC4" s="12">
        <f>SUM(HC5:HC30)</f>
        <v>8</v>
      </c>
      <c r="HD4" s="12">
        <f>SUM(HD5:HD30)</f>
        <v>10</v>
      </c>
      <c r="HE4" s="12">
        <f>SUM(HE5:HE30)</f>
        <v>9</v>
      </c>
      <c r="HF4" s="12">
        <f>COUNTIF(HF9:HF30,2)</f>
        <v>3</v>
      </c>
      <c r="HG4" s="12">
        <f>SUM(HG5:HG30)</f>
        <v>7</v>
      </c>
      <c r="HI4" s="12" t="s">
        <v>253</v>
      </c>
      <c r="HJ4" s="12">
        <v>1.4</v>
      </c>
    </row>
    <row r="5" spans="1:219" s="12" customFormat="1" ht="28.8" customHeight="1" x14ac:dyDescent="0.3">
      <c r="A5" s="111" t="s">
        <v>115</v>
      </c>
      <c r="B5" s="106" t="s">
        <v>103</v>
      </c>
      <c r="C5" s="106" t="s">
        <v>136</v>
      </c>
      <c r="D5" s="106" t="s">
        <v>137</v>
      </c>
      <c r="E5" s="106" t="s">
        <v>140</v>
      </c>
      <c r="F5" s="106" t="s">
        <v>141</v>
      </c>
      <c r="G5" s="106" t="s">
        <v>144</v>
      </c>
      <c r="H5" s="106" t="s">
        <v>145</v>
      </c>
      <c r="I5" s="106" t="s">
        <v>148</v>
      </c>
      <c r="J5" s="106" t="s">
        <v>149</v>
      </c>
      <c r="K5" s="106" t="s">
        <v>152</v>
      </c>
      <c r="L5" s="106" t="s">
        <v>153</v>
      </c>
      <c r="M5" s="106" t="s">
        <v>134</v>
      </c>
      <c r="N5" s="106" t="s">
        <v>135</v>
      </c>
      <c r="O5" s="106" t="s">
        <v>142</v>
      </c>
      <c r="P5" s="106" t="s">
        <v>143</v>
      </c>
      <c r="Q5" s="106" t="s">
        <v>146</v>
      </c>
      <c r="R5" s="106" t="s">
        <v>147</v>
      </c>
      <c r="S5" s="106" t="s">
        <v>71</v>
      </c>
      <c r="T5" s="106" t="s">
        <v>118</v>
      </c>
      <c r="U5" s="106" t="s">
        <v>156</v>
      </c>
      <c r="V5" s="106" t="s">
        <v>157</v>
      </c>
      <c r="W5" s="106" t="s">
        <v>158</v>
      </c>
      <c r="X5" s="106" t="str">
        <f>CONCATENATE(W5,"_fraction")</f>
        <v>bank_revetment_length_left_fraction</v>
      </c>
      <c r="Y5" s="106" t="s">
        <v>159</v>
      </c>
      <c r="Z5" s="106" t="str">
        <f>CONCATENATE(Y5,"_fraction")</f>
        <v>bank_revetment_length_right_fraction</v>
      </c>
      <c r="AA5" s="106" t="s">
        <v>165</v>
      </c>
      <c r="AB5" s="106" t="s">
        <v>154</v>
      </c>
      <c r="AC5" s="106" t="s">
        <v>150</v>
      </c>
      <c r="AD5" s="106" t="str">
        <f>CONCATENATE(AC5,"_fraction")</f>
        <v>development_length_one_side_fraction</v>
      </c>
      <c r="AE5" s="106" t="s">
        <v>151</v>
      </c>
      <c r="AF5" s="106" t="str">
        <f>CONCATENATE(AE5,"_fraction")</f>
        <v>development_length_both_sides_fraction</v>
      </c>
      <c r="AG5" s="106" t="s">
        <v>133</v>
      </c>
      <c r="AH5" s="106" t="s">
        <v>105</v>
      </c>
      <c r="AI5" s="106" t="s">
        <v>117</v>
      </c>
      <c r="AJ5" s="106" t="s">
        <v>102</v>
      </c>
      <c r="AK5" s="106" t="s">
        <v>104</v>
      </c>
      <c r="AL5" s="106" t="s">
        <v>79</v>
      </c>
      <c r="AM5" s="106" t="s">
        <v>74</v>
      </c>
      <c r="AN5" s="106" t="s">
        <v>75</v>
      </c>
      <c r="AO5" s="106" t="s">
        <v>76</v>
      </c>
      <c r="AP5" s="106" t="s">
        <v>77</v>
      </c>
      <c r="AQ5" s="106" t="s">
        <v>182</v>
      </c>
      <c r="AR5" s="106" t="s">
        <v>116</v>
      </c>
      <c r="AS5" s="106" t="s">
        <v>49</v>
      </c>
      <c r="AT5" s="106" t="s">
        <v>106</v>
      </c>
      <c r="AU5" s="106" t="s">
        <v>110</v>
      </c>
      <c r="AV5" s="106" t="s">
        <v>170</v>
      </c>
      <c r="AW5" s="106" t="s">
        <v>70</v>
      </c>
      <c r="AX5" s="106" t="s">
        <v>107</v>
      </c>
      <c r="AY5" s="106" t="s">
        <v>100</v>
      </c>
      <c r="AZ5" s="106" t="s">
        <v>237</v>
      </c>
      <c r="BA5" s="106" t="s">
        <v>186</v>
      </c>
      <c r="BB5" s="106" t="s">
        <v>101</v>
      </c>
      <c r="BC5" s="106" t="s">
        <v>185</v>
      </c>
      <c r="BD5" s="106" t="str">
        <f>CONCATENATE("rounded IR&gt;=",BD1)</f>
        <v>rounded IR&gt;=1.4</v>
      </c>
      <c r="BE5" s="106" t="s">
        <v>73</v>
      </c>
      <c r="BF5" s="106" t="s">
        <v>78</v>
      </c>
      <c r="BG5" s="106" t="s">
        <v>72</v>
      </c>
      <c r="BH5" s="106" t="s">
        <v>138</v>
      </c>
      <c r="BI5" s="106" t="str">
        <f>CONCATENATE(BH5,"_fraction")</f>
        <v>road_length_one_side_fraction</v>
      </c>
      <c r="BJ5" s="106" t="s">
        <v>139</v>
      </c>
      <c r="BK5" s="106" t="str">
        <f>CONCATENATE(BJ5,"_fraction")</f>
        <v>road_length_both_sides_fraction</v>
      </c>
      <c r="BL5" s="179" t="s">
        <v>188</v>
      </c>
      <c r="BM5" s="106" t="s">
        <v>155</v>
      </c>
      <c r="BN5" s="106" t="s">
        <v>109</v>
      </c>
      <c r="BO5" s="106" t="s">
        <v>108</v>
      </c>
      <c r="BP5" s="106" t="s">
        <v>169</v>
      </c>
      <c r="BQ5" s="106" t="s">
        <v>192</v>
      </c>
      <c r="BR5" s="106" t="s">
        <v>111</v>
      </c>
      <c r="BS5" s="106" t="s">
        <v>112</v>
      </c>
      <c r="BT5" s="106" t="s">
        <v>113</v>
      </c>
      <c r="BU5" s="106" t="s">
        <v>114</v>
      </c>
      <c r="BV5" s="180" t="s">
        <v>68</v>
      </c>
      <c r="BW5" s="106" t="s">
        <v>264</v>
      </c>
      <c r="BX5" s="106" t="s">
        <v>69</v>
      </c>
      <c r="BY5" s="181"/>
      <c r="BZ5" s="181"/>
      <c r="CA5" s="181"/>
      <c r="CB5" s="181"/>
      <c r="CC5" s="181"/>
      <c r="CD5" s="181"/>
      <c r="CE5" s="228"/>
      <c r="CF5" s="238"/>
      <c r="CG5" s="169" t="s">
        <v>276</v>
      </c>
      <c r="CH5" s="106" t="s">
        <v>52</v>
      </c>
      <c r="CI5" s="106" t="s">
        <v>54</v>
      </c>
      <c r="CJ5" s="106" t="s">
        <v>277</v>
      </c>
      <c r="CK5" s="106" t="s">
        <v>244</v>
      </c>
      <c r="CL5" s="106" t="s">
        <v>246</v>
      </c>
      <c r="CM5" s="106" t="s">
        <v>245</v>
      </c>
      <c r="CN5" s="107" t="s">
        <v>248</v>
      </c>
      <c r="CO5" s="144" t="s">
        <v>242</v>
      </c>
      <c r="CP5" s="107" t="s">
        <v>243</v>
      </c>
      <c r="CQ5" s="111" t="s">
        <v>30</v>
      </c>
      <c r="CR5" s="106" t="s">
        <v>31</v>
      </c>
      <c r="CS5" s="106" t="s">
        <v>32</v>
      </c>
      <c r="CT5" s="106" t="s">
        <v>33</v>
      </c>
      <c r="CU5" s="106" t="s">
        <v>34</v>
      </c>
      <c r="CV5" s="106" t="s">
        <v>35</v>
      </c>
      <c r="CW5" s="106" t="s">
        <v>30</v>
      </c>
      <c r="CX5" s="106" t="s">
        <v>31</v>
      </c>
      <c r="CY5" s="106" t="s">
        <v>32</v>
      </c>
      <c r="CZ5" s="106" t="s">
        <v>33</v>
      </c>
      <c r="DA5" s="106" t="s">
        <v>34</v>
      </c>
      <c r="DB5" s="107" t="s">
        <v>35</v>
      </c>
      <c r="DC5" s="106" t="s">
        <v>56</v>
      </c>
      <c r="DD5" s="106" t="s">
        <v>57</v>
      </c>
      <c r="DE5" s="106" t="s">
        <v>58</v>
      </c>
      <c r="DF5" s="106" t="s">
        <v>56</v>
      </c>
      <c r="DG5" s="106" t="s">
        <v>57</v>
      </c>
      <c r="DH5" s="106" t="s">
        <v>58</v>
      </c>
      <c r="DI5" s="235"/>
      <c r="DJ5" s="106" t="s">
        <v>30</v>
      </c>
      <c r="DK5" s="106" t="s">
        <v>31</v>
      </c>
      <c r="DL5" s="106" t="s">
        <v>32</v>
      </c>
      <c r="DM5" s="106" t="s">
        <v>33</v>
      </c>
      <c r="DN5" s="106" t="s">
        <v>34</v>
      </c>
      <c r="DO5" s="107" t="s">
        <v>35</v>
      </c>
      <c r="DQ5" s="18" t="s">
        <v>274</v>
      </c>
      <c r="DR5" s="18" t="s">
        <v>273</v>
      </c>
      <c r="EM5" s="108"/>
      <c r="EN5" s="111"/>
      <c r="EO5" s="73"/>
      <c r="EP5" s="116" t="s">
        <v>185</v>
      </c>
      <c r="EQ5" s="116" t="s">
        <v>100</v>
      </c>
      <c r="ER5" s="116" t="s">
        <v>186</v>
      </c>
      <c r="ES5" s="182" t="s">
        <v>8</v>
      </c>
      <c r="ET5" s="116" t="s">
        <v>52</v>
      </c>
      <c r="EU5" s="116" t="s">
        <v>54</v>
      </c>
      <c r="EV5" s="116" t="s">
        <v>51</v>
      </c>
      <c r="EW5" s="21" t="s">
        <v>207</v>
      </c>
      <c r="EX5" s="21" t="s">
        <v>209</v>
      </c>
      <c r="EY5" s="21" t="s">
        <v>210</v>
      </c>
      <c r="EZ5" s="116" t="s">
        <v>49</v>
      </c>
      <c r="FA5" s="116" t="s">
        <v>70</v>
      </c>
      <c r="FB5" s="73"/>
      <c r="FC5" s="73"/>
      <c r="FD5" s="24"/>
      <c r="FE5" s="24" t="s">
        <v>30</v>
      </c>
      <c r="FF5" s="24" t="s">
        <v>31</v>
      </c>
      <c r="FG5" s="24" t="s">
        <v>32</v>
      </c>
      <c r="FH5" s="24" t="s">
        <v>33</v>
      </c>
      <c r="FI5" s="24" t="s">
        <v>34</v>
      </c>
      <c r="FJ5" s="24" t="s">
        <v>35</v>
      </c>
      <c r="FK5" s="13"/>
      <c r="FL5" s="24" t="s">
        <v>29</v>
      </c>
      <c r="FM5" s="24" t="s">
        <v>42</v>
      </c>
      <c r="FN5" s="24" t="s">
        <v>42</v>
      </c>
      <c r="FO5" s="24" t="s">
        <v>24</v>
      </c>
      <c r="FP5" s="24" t="s">
        <v>25</v>
      </c>
      <c r="FQ5" s="24" t="s">
        <v>26</v>
      </c>
      <c r="FR5" s="24" t="s">
        <v>43</v>
      </c>
      <c r="FS5" s="177"/>
      <c r="FT5" s="24" t="s">
        <v>238</v>
      </c>
      <c r="FU5" s="24" t="s">
        <v>239</v>
      </c>
      <c r="FV5" s="24" t="s">
        <v>240</v>
      </c>
      <c r="FW5" s="24" t="s">
        <v>241</v>
      </c>
      <c r="FX5" s="24" t="s">
        <v>27</v>
      </c>
      <c r="FY5" s="24" t="s">
        <v>47</v>
      </c>
      <c r="FZ5" s="24" t="s">
        <v>28</v>
      </c>
      <c r="GA5" s="24" t="s">
        <v>48</v>
      </c>
      <c r="GB5" s="13"/>
      <c r="GC5" s="12" t="s">
        <v>8</v>
      </c>
      <c r="GD5" s="12" t="s">
        <v>60</v>
      </c>
      <c r="GE5" s="12" t="s">
        <v>61</v>
      </c>
      <c r="GF5" s="12" t="s">
        <v>62</v>
      </c>
      <c r="GG5" s="12" t="s">
        <v>63</v>
      </c>
      <c r="GH5" s="12" t="s">
        <v>64</v>
      </c>
      <c r="GI5" s="12" t="s">
        <v>65</v>
      </c>
      <c r="GJ5" s="13"/>
      <c r="GK5" s="13"/>
      <c r="GL5" s="12" t="s">
        <v>54</v>
      </c>
      <c r="GM5" s="12" t="s">
        <v>56</v>
      </c>
      <c r="GN5" s="12" t="s">
        <v>57</v>
      </c>
      <c r="GO5" s="12" t="s">
        <v>58</v>
      </c>
      <c r="GP5" s="24" t="s">
        <v>30</v>
      </c>
      <c r="GQ5" s="24" t="s">
        <v>31</v>
      </c>
      <c r="GR5" s="24" t="s">
        <v>32</v>
      </c>
      <c r="GS5" s="24" t="s">
        <v>33</v>
      </c>
      <c r="GT5" s="24" t="s">
        <v>34</v>
      </c>
      <c r="GU5" s="24" t="s">
        <v>35</v>
      </c>
      <c r="GV5" s="13"/>
      <c r="GW5" s="13"/>
      <c r="HH5" s="12" t="s">
        <v>237</v>
      </c>
    </row>
    <row r="6" spans="1:219" x14ac:dyDescent="0.3">
      <c r="A6" s="128"/>
      <c r="B6" s="3">
        <v>122.18</v>
      </c>
      <c r="C6" s="3"/>
      <c r="D6" s="3"/>
      <c r="E6" s="3"/>
      <c r="F6" s="3"/>
      <c r="G6" s="3"/>
      <c r="H6" s="3"/>
      <c r="I6" s="3"/>
      <c r="J6" s="3"/>
      <c r="K6" s="3"/>
      <c r="L6" s="3"/>
      <c r="M6" s="3"/>
      <c r="N6" s="3"/>
      <c r="O6" s="3"/>
      <c r="P6" s="3"/>
      <c r="Q6" s="3"/>
      <c r="R6" s="3"/>
      <c r="S6" s="3"/>
      <c r="T6" s="3"/>
      <c r="U6" s="3"/>
      <c r="V6" s="3"/>
      <c r="W6" s="3"/>
      <c r="X6" s="3" t="str">
        <f>IF(ISBLANK(W6),"",W6/(AU6*1))</f>
        <v/>
      </c>
      <c r="Y6" s="3"/>
      <c r="Z6" s="3" t="str">
        <f>IF(ISBLANK(Y6),"",Y6/(BE6*1))</f>
        <v/>
      </c>
      <c r="AA6" s="3">
        <f t="shared" ref="AA6:AA30" si="0">SUM(X6,Z6)</f>
        <v>0</v>
      </c>
      <c r="AB6" s="3"/>
      <c r="AC6" s="3"/>
      <c r="AD6" s="3" t="str">
        <f>IF(ISBLANK(AC6),"",AC6/(#REF!*1))</f>
        <v/>
      </c>
      <c r="AE6" s="3"/>
      <c r="AF6" s="3" t="str">
        <f>IF(ISBLANK(AE6),"",AE6/(#REF!*1))</f>
        <v/>
      </c>
      <c r="AG6" s="3"/>
      <c r="AH6" s="3" t="s">
        <v>119</v>
      </c>
      <c r="AI6" s="33"/>
      <c r="AJ6" s="33">
        <v>1.01537048816681</v>
      </c>
      <c r="AK6" s="33">
        <v>509</v>
      </c>
      <c r="AL6" s="32"/>
      <c r="AM6" s="32"/>
      <c r="AN6" s="32"/>
      <c r="AO6" s="32"/>
      <c r="AP6" s="32"/>
      <c r="AQ6" s="33" t="s">
        <v>88</v>
      </c>
      <c r="AR6" s="33"/>
      <c r="AS6" s="35" t="s">
        <v>50</v>
      </c>
      <c r="AT6" s="33" t="s">
        <v>120</v>
      </c>
      <c r="AU6" s="33"/>
      <c r="AV6" s="33" t="s">
        <v>171</v>
      </c>
      <c r="AW6" s="35" t="s">
        <v>50</v>
      </c>
      <c r="AX6" s="33" t="s">
        <v>121</v>
      </c>
      <c r="AY6" s="35" t="s">
        <v>50</v>
      </c>
      <c r="AZ6" s="35"/>
      <c r="BA6" s="35"/>
      <c r="BB6" s="35" t="s">
        <v>50</v>
      </c>
      <c r="BC6" s="35"/>
      <c r="BD6" s="35"/>
      <c r="BE6" s="32"/>
      <c r="BF6" s="32"/>
      <c r="BG6" s="32"/>
      <c r="BH6" s="33"/>
      <c r="BI6" s="33" t="str">
        <f>IF(ISBLANK(BH6),"",BH6/(DI6*1))</f>
        <v/>
      </c>
      <c r="BJ6" s="33"/>
      <c r="BK6" s="33"/>
      <c r="BL6" s="54" t="str">
        <f>IF(ISBLANK(BK6),"",BK6+BI6)</f>
        <v/>
      </c>
      <c r="BM6" s="33"/>
      <c r="BN6" s="33"/>
      <c r="BO6" s="33"/>
      <c r="BP6" s="33"/>
      <c r="BQ6" s="55"/>
      <c r="BR6" s="3"/>
      <c r="BS6" s="3"/>
      <c r="BT6" s="3"/>
      <c r="BU6" s="3"/>
      <c r="BV6" s="33"/>
      <c r="BW6" s="7" t="s">
        <v>50</v>
      </c>
      <c r="BX6" s="33">
        <v>4.1659846128662599</v>
      </c>
      <c r="BY6" s="170">
        <f>ROUND(BX6,2-(1+INT((LOG10(ABS(BX6))))))</f>
        <v>4.2</v>
      </c>
      <c r="BZ6" s="170">
        <f>INT((LOG10(ABS(BX6))))</f>
        <v>0</v>
      </c>
      <c r="CA6" s="170">
        <f>MOD(BY6,1)</f>
        <v>0.20000000000000018</v>
      </c>
      <c r="CB6" s="170" t="str">
        <f>IF(AND(BZ6=0,CA6=0),".0","")</f>
        <v/>
      </c>
      <c r="CC6" s="170" t="str">
        <f>CONCATENATE(BY6,CB6)</f>
        <v>4.2</v>
      </c>
      <c r="CD6" s="27"/>
      <c r="CE6" s="109" t="s">
        <v>36</v>
      </c>
      <c r="CF6" s="95">
        <v>144</v>
      </c>
      <c r="CG6" s="171" t="s">
        <v>50</v>
      </c>
      <c r="CH6" s="4">
        <f t="shared" ref="CH6:CH30" si="1">FL6/1000</f>
        <v>1.6922900000000001</v>
      </c>
      <c r="CI6" s="94">
        <v>6.2896734105948003E-3</v>
      </c>
      <c r="CJ6" s="7" t="str">
        <f>IF(BW6="---",BW6,CONCATENATE(BW6," (",CC6,")"))</f>
        <v>---</v>
      </c>
      <c r="CK6" s="3" t="s">
        <v>122</v>
      </c>
      <c r="CL6" s="7" t="s">
        <v>50</v>
      </c>
      <c r="CM6" s="7" t="s">
        <v>50</v>
      </c>
      <c r="CN6" s="147" t="s">
        <v>50</v>
      </c>
      <c r="CO6" s="145" t="str">
        <f>FU6</f>
        <v>---</v>
      </c>
      <c r="CP6" s="139" t="str">
        <f>FW6</f>
        <v>---</v>
      </c>
      <c r="CQ6" s="137">
        <v>0</v>
      </c>
      <c r="CR6" s="95">
        <v>0</v>
      </c>
      <c r="CS6" s="95">
        <v>0</v>
      </c>
      <c r="CT6" s="95">
        <v>0</v>
      </c>
      <c r="CU6" s="95">
        <v>0</v>
      </c>
      <c r="CV6" s="95">
        <v>0</v>
      </c>
      <c r="CW6" s="95">
        <v>0.23820469722832668</v>
      </c>
      <c r="CX6" s="95">
        <v>0.47387772877004181</v>
      </c>
      <c r="CY6" s="95">
        <v>0.4764186216762068</v>
      </c>
      <c r="CZ6" s="95">
        <v>0.4932013393883336</v>
      </c>
      <c r="DA6" s="95">
        <v>0.57296487116323502</v>
      </c>
      <c r="DB6" s="96">
        <v>0.91201309692037413</v>
      </c>
      <c r="DC6" s="7" t="s">
        <v>50</v>
      </c>
      <c r="DD6" s="7" t="s">
        <v>50</v>
      </c>
      <c r="DE6" s="7" t="s">
        <v>50</v>
      </c>
      <c r="DF6" s="7" t="s">
        <v>50</v>
      </c>
      <c r="DG6" s="7" t="s">
        <v>50</v>
      </c>
      <c r="DH6" s="7" t="s">
        <v>50</v>
      </c>
      <c r="DI6" s="136" t="s">
        <v>50</v>
      </c>
      <c r="DJ6" s="95">
        <v>258.92696287516702</v>
      </c>
      <c r="DK6" s="95">
        <v>377.304980823253</v>
      </c>
      <c r="DL6" s="95">
        <v>607.21925227194197</v>
      </c>
      <c r="DM6" s="95">
        <v>691.39785478051397</v>
      </c>
      <c r="DN6" s="95">
        <v>812.37250900844901</v>
      </c>
      <c r="DO6" s="96">
        <v>1113.9293873336901</v>
      </c>
      <c r="EM6" s="163" t="s">
        <v>36</v>
      </c>
      <c r="EN6" s="92" t="str">
        <f>IF(ISBLANK(FR6),"---",IF(FR6="Q1000","&gt;Q500",FR6))</f>
        <v>---</v>
      </c>
      <c r="EO6" s="22" t="b">
        <f t="shared" ref="EO6:EO30" si="2">EXACT(EM6,ES6)</f>
        <v>0</v>
      </c>
      <c r="EP6" s="6"/>
      <c r="EQ6" s="6"/>
      <c r="ER6" s="6"/>
      <c r="ES6" s="68"/>
      <c r="ET6" s="6"/>
      <c r="EU6" s="6"/>
      <c r="EV6" s="6"/>
      <c r="EW6" s="88"/>
      <c r="EX6" s="21"/>
      <c r="EY6" s="21"/>
      <c r="EZ6" s="6"/>
      <c r="FA6" s="6"/>
      <c r="FB6" s="22"/>
      <c r="FC6" s="22"/>
      <c r="FD6" s="11"/>
      <c r="FE6" s="8">
        <v>0.27180403157088701</v>
      </c>
      <c r="FF6" s="9">
        <v>0.50748232883701905</v>
      </c>
      <c r="FG6" s="9">
        <v>0.51002322174317605</v>
      </c>
      <c r="FH6" s="9">
        <v>0.52680593945528498</v>
      </c>
      <c r="FI6" s="9">
        <v>0.60656947123022298</v>
      </c>
      <c r="FJ6" s="10">
        <v>0.945617696987333</v>
      </c>
      <c r="FK6" s="14"/>
      <c r="FL6" s="3">
        <v>1692.29</v>
      </c>
      <c r="FM6" s="5"/>
      <c r="FN6" s="5" t="str">
        <f t="shared" ref="FN6:FN30" si="3">IF(ISBLANK(FM6),"na",CONCATENATE("Q",FM6))</f>
        <v>na</v>
      </c>
      <c r="FO6" s="5">
        <v>0</v>
      </c>
      <c r="FP6" s="5" t="s">
        <v>44</v>
      </c>
      <c r="FQ6" s="5"/>
      <c r="FR6" s="5"/>
      <c r="FS6" s="68" t="s">
        <v>36</v>
      </c>
      <c r="FT6" s="5"/>
      <c r="FU6" s="5" t="str">
        <f t="shared" ref="FU6:FW30" si="4">IF(ISBLANK(FT6),"---",IF(FT6=1000,"&gt;Q500",CONCATENATE("Q",FT6)))</f>
        <v>---</v>
      </c>
      <c r="FV6" s="5"/>
      <c r="FW6" s="5" t="str">
        <f t="shared" si="4"/>
        <v>---</v>
      </c>
      <c r="FX6" s="5"/>
      <c r="FY6" s="4">
        <v>0</v>
      </c>
      <c r="FZ6" s="5"/>
      <c r="GA6" s="5" t="str">
        <f t="shared" ref="GA6:GA30" si="5">IF(ISBLANK(FZ6),"na",FZ6)</f>
        <v>na</v>
      </c>
      <c r="GC6" t="s">
        <v>36</v>
      </c>
      <c r="GD6">
        <v>258.92696287516702</v>
      </c>
      <c r="GE6">
        <v>377.304980823253</v>
      </c>
      <c r="GF6">
        <v>607.21925227194197</v>
      </c>
      <c r="GG6">
        <v>691.39785478051397</v>
      </c>
      <c r="GH6">
        <v>812.37250900844901</v>
      </c>
      <c r="GI6">
        <v>1113.9293873336901</v>
      </c>
      <c r="GK6" s="14"/>
      <c r="GL6" s="15">
        <v>6.2896734105948003E-3</v>
      </c>
      <c r="GP6">
        <v>206.31833166225201</v>
      </c>
      <c r="GQ6">
        <v>265.43566769880101</v>
      </c>
      <c r="GR6">
        <v>394.087522025091</v>
      </c>
      <c r="GS6">
        <v>438.06979018709302</v>
      </c>
      <c r="GT6">
        <v>502.74274389044098</v>
      </c>
      <c r="GU6">
        <v>618.979460299587</v>
      </c>
      <c r="GV6" s="14"/>
      <c r="GW6" s="14"/>
      <c r="HH6" t="str">
        <f t="shared" ref="HH6:HH30" si="6">IF(CL6&gt;3,"","Entrenched")</f>
        <v/>
      </c>
      <c r="HJ6">
        <f>COUNTIF(CE:EN,"Alluvial")</f>
        <v>18</v>
      </c>
      <c r="HK6" t="s">
        <v>254</v>
      </c>
    </row>
    <row r="7" spans="1:219" x14ac:dyDescent="0.3">
      <c r="A7" s="128"/>
      <c r="B7" s="3">
        <v>121.74</v>
      </c>
      <c r="C7" s="3"/>
      <c r="D7" s="3"/>
      <c r="E7" s="3"/>
      <c r="F7" s="3"/>
      <c r="G7" s="3"/>
      <c r="H7" s="3"/>
      <c r="I7" s="3"/>
      <c r="J7" s="3"/>
      <c r="K7" s="3"/>
      <c r="L7" s="3"/>
      <c r="M7" s="3"/>
      <c r="N7" s="3"/>
      <c r="O7" s="3"/>
      <c r="P7" s="3"/>
      <c r="Q7" s="3"/>
      <c r="R7" s="3"/>
      <c r="S7" s="3"/>
      <c r="T7" s="3"/>
      <c r="U7" s="3"/>
      <c r="V7" s="3"/>
      <c r="W7" s="3"/>
      <c r="X7" s="3" t="str">
        <f>IF(ISBLANK(W7),"",W7/(AU7*1))</f>
        <v/>
      </c>
      <c r="Y7" s="3"/>
      <c r="Z7" s="3" t="str">
        <f>IF(ISBLANK(Y7),"",Y7/(BE7*1))</f>
        <v/>
      </c>
      <c r="AA7" s="3">
        <f t="shared" si="0"/>
        <v>0</v>
      </c>
      <c r="AB7" s="3"/>
      <c r="AC7" s="3"/>
      <c r="AD7" s="3" t="str">
        <f>IF(ISBLANK(AC7),"",AC7/(#REF!*1))</f>
        <v/>
      </c>
      <c r="AE7" s="3"/>
      <c r="AF7" s="3" t="str">
        <f>IF(ISBLANK(AE7),"",AE7/(#REF!*1))</f>
        <v/>
      </c>
      <c r="AG7" s="3"/>
      <c r="AH7" s="3" t="s">
        <v>119</v>
      </c>
      <c r="AI7" s="33"/>
      <c r="AJ7" s="33">
        <v>1.03566014766693</v>
      </c>
      <c r="AK7" s="33">
        <v>460</v>
      </c>
      <c r="AL7" s="32"/>
      <c r="AM7" s="32"/>
      <c r="AN7" s="32"/>
      <c r="AO7" s="32"/>
      <c r="AP7" s="32"/>
      <c r="AQ7" s="33" t="s">
        <v>80</v>
      </c>
      <c r="AR7" s="33"/>
      <c r="AS7" s="35" t="s">
        <v>50</v>
      </c>
      <c r="AT7" s="33" t="s">
        <v>122</v>
      </c>
      <c r="AU7" s="33"/>
      <c r="AV7" s="33" t="s">
        <v>86</v>
      </c>
      <c r="AW7" s="35" t="s">
        <v>50</v>
      </c>
      <c r="AX7" s="33" t="s">
        <v>121</v>
      </c>
      <c r="AY7" s="35" t="s">
        <v>50</v>
      </c>
      <c r="AZ7" s="35"/>
      <c r="BA7" s="35"/>
      <c r="BB7" s="35" t="s">
        <v>50</v>
      </c>
      <c r="BC7" s="35"/>
      <c r="BD7" s="35"/>
      <c r="BE7" s="32"/>
      <c r="BF7" s="32"/>
      <c r="BG7" s="32"/>
      <c r="BH7" s="33"/>
      <c r="BI7" s="33" t="str">
        <f>IF(ISBLANK(BH7),"",BH7/(DI7*1))</f>
        <v/>
      </c>
      <c r="BJ7" s="33"/>
      <c r="BK7" s="33"/>
      <c r="BL7" s="54" t="str">
        <f>IF(ISBLANK(BK7),"",BK7+BI7)</f>
        <v/>
      </c>
      <c r="BM7" s="33"/>
      <c r="BN7" s="33"/>
      <c r="BO7" s="33"/>
      <c r="BP7" s="33"/>
      <c r="BQ7" s="55"/>
      <c r="BR7" s="3"/>
      <c r="BS7" s="3"/>
      <c r="BT7" s="3"/>
      <c r="BU7" s="3"/>
      <c r="BV7" s="33"/>
      <c r="BW7" s="7" t="s">
        <v>50</v>
      </c>
      <c r="BX7" s="33">
        <v>3.7785444389682898</v>
      </c>
      <c r="BY7" s="170">
        <f>ROUND(BX7,2-(1+INT((LOG10(ABS(BX7))))))</f>
        <v>3.8</v>
      </c>
      <c r="BZ7" s="170">
        <f t="shared" ref="BZ7:BZ30" si="7">INT((LOG10(ABS(BX7))))</f>
        <v>0</v>
      </c>
      <c r="CA7" s="170">
        <f t="shared" ref="CA7:CA34" si="8">MOD(BY7,1)</f>
        <v>0.79999999999999982</v>
      </c>
      <c r="CB7" s="170" t="str">
        <f t="shared" ref="CB7:CB34" si="9">IF(AND(BZ7=0,CA7=0),".0","")</f>
        <v/>
      </c>
      <c r="CC7" s="170" t="str">
        <f t="shared" ref="CC7:CC34" si="10">CONCATENATE(BY7,CB7)</f>
        <v>3.8</v>
      </c>
      <c r="CD7" s="27"/>
      <c r="CE7" s="109" t="s">
        <v>37</v>
      </c>
      <c r="CF7" s="95">
        <v>143</v>
      </c>
      <c r="CG7" s="171" t="s">
        <v>50</v>
      </c>
      <c r="CH7" s="4">
        <f t="shared" si="1"/>
        <v>0.83223800000000003</v>
      </c>
      <c r="CI7" s="94">
        <v>1.9717939965368601E-2</v>
      </c>
      <c r="CJ7" s="7" t="str">
        <f>IF(BW7="---",BW7,CONCATENATE(BW7," (",CC7,")"))</f>
        <v>---</v>
      </c>
      <c r="CK7" s="3" t="s">
        <v>122</v>
      </c>
      <c r="CL7" s="7" t="s">
        <v>50</v>
      </c>
      <c r="CM7" s="7" t="s">
        <v>50</v>
      </c>
      <c r="CN7" s="147" t="s">
        <v>50</v>
      </c>
      <c r="CO7" s="145" t="str">
        <f>FU7</f>
        <v>---</v>
      </c>
      <c r="CP7" s="139" t="str">
        <f>FW7</f>
        <v>---</v>
      </c>
      <c r="CQ7" s="137">
        <v>0</v>
      </c>
      <c r="CR7" s="95">
        <v>0</v>
      </c>
      <c r="CS7" s="95">
        <v>0</v>
      </c>
      <c r="CT7" s="95">
        <v>0</v>
      </c>
      <c r="CU7" s="95">
        <v>0</v>
      </c>
      <c r="CV7" s="95">
        <v>0</v>
      </c>
      <c r="CW7" s="95">
        <v>1.0909921054922089E-2</v>
      </c>
      <c r="CX7" s="95">
        <v>1.3035584900527612E-2</v>
      </c>
      <c r="CY7" s="95">
        <v>1.3647100346351403E-2</v>
      </c>
      <c r="CZ7" s="95">
        <v>1.3647100346351403E-2</v>
      </c>
      <c r="DA7" s="95">
        <v>1.3647100346351403E-2</v>
      </c>
      <c r="DB7" s="96">
        <v>1.3676637460950472E-2</v>
      </c>
      <c r="DC7" s="7" t="s">
        <v>50</v>
      </c>
      <c r="DD7" s="7" t="s">
        <v>50</v>
      </c>
      <c r="DE7" s="7" t="s">
        <v>50</v>
      </c>
      <c r="DF7" s="7" t="s">
        <v>50</v>
      </c>
      <c r="DG7" s="7" t="s">
        <v>50</v>
      </c>
      <c r="DH7" s="7" t="s">
        <v>50</v>
      </c>
      <c r="DI7" s="136" t="s">
        <v>50</v>
      </c>
      <c r="DJ7" s="95">
        <v>1033.2007403963701</v>
      </c>
      <c r="DK7" s="95">
        <v>1524.12326310039</v>
      </c>
      <c r="DL7" s="95">
        <v>2340.8646237482199</v>
      </c>
      <c r="DM7" s="95">
        <v>2740.2885228536302</v>
      </c>
      <c r="DN7" s="95">
        <v>3317.87785073656</v>
      </c>
      <c r="DO7" s="96">
        <v>4415.62145124362</v>
      </c>
      <c r="EM7" s="163" t="s">
        <v>37</v>
      </c>
      <c r="EN7" s="92" t="str">
        <f>IF(ISBLANK(FR7),"---",IF(FR7="Q1000","&gt;Q500",FR7))</f>
        <v>---</v>
      </c>
      <c r="EO7" s="22" t="b">
        <f t="shared" si="2"/>
        <v>0</v>
      </c>
      <c r="EP7" s="6"/>
      <c r="EQ7" s="6"/>
      <c r="ER7" s="6"/>
      <c r="ES7" s="68"/>
      <c r="ET7" s="6"/>
      <c r="EU7" s="6"/>
      <c r="EV7" s="6"/>
      <c r="EW7" s="88"/>
      <c r="EX7" s="21"/>
      <c r="EY7" s="21"/>
      <c r="EZ7" s="6"/>
      <c r="FA7" s="6"/>
      <c r="FB7" s="22"/>
      <c r="FC7" s="22"/>
      <c r="FD7" s="11"/>
      <c r="FE7" s="8">
        <v>1.2339400059782299E-2</v>
      </c>
      <c r="FF7" s="9">
        <v>1.44650639053791E-2</v>
      </c>
      <c r="FG7" s="9">
        <v>1.51054747532031E-2</v>
      </c>
      <c r="FH7" s="9">
        <v>1.51054747532031E-2</v>
      </c>
      <c r="FI7" s="9">
        <v>1.51054747531331E-2</v>
      </c>
      <c r="FJ7" s="10">
        <v>1.51350118677671E-2</v>
      </c>
      <c r="FK7" s="14"/>
      <c r="FL7" s="3">
        <v>832.23800000000006</v>
      </c>
      <c r="FM7" s="5"/>
      <c r="FN7" s="5" t="str">
        <f t="shared" si="3"/>
        <v>na</v>
      </c>
      <c r="FO7" s="5">
        <v>0</v>
      </c>
      <c r="FP7" s="5" t="s">
        <v>44</v>
      </c>
      <c r="FQ7" s="5"/>
      <c r="FR7" s="5"/>
      <c r="FS7" s="68" t="s">
        <v>37</v>
      </c>
      <c r="FT7" s="5"/>
      <c r="FU7" s="5" t="str">
        <f t="shared" si="4"/>
        <v>---</v>
      </c>
      <c r="FV7" s="5"/>
      <c r="FW7" s="5" t="str">
        <f t="shared" si="4"/>
        <v>---</v>
      </c>
      <c r="FX7" s="5"/>
      <c r="FY7" s="4">
        <v>0</v>
      </c>
      <c r="FZ7" s="5"/>
      <c r="GA7" s="5" t="str">
        <f t="shared" si="5"/>
        <v>na</v>
      </c>
      <c r="GC7" t="s">
        <v>37</v>
      </c>
      <c r="GD7">
        <v>1033.2007403963701</v>
      </c>
      <c r="GE7">
        <v>1524.12326310039</v>
      </c>
      <c r="GF7">
        <v>2340.8646237482199</v>
      </c>
      <c r="GG7">
        <v>2740.2885228536302</v>
      </c>
      <c r="GH7">
        <v>3317.87785073656</v>
      </c>
      <c r="GI7">
        <v>4415.62145124362</v>
      </c>
      <c r="GK7" s="14"/>
      <c r="GL7" s="15">
        <v>1.9717939965368601E-2</v>
      </c>
      <c r="GP7">
        <v>870.84141184684302</v>
      </c>
      <c r="GQ7">
        <v>1198.78506870502</v>
      </c>
      <c r="GR7">
        <v>1719.62148180136</v>
      </c>
      <c r="GS7">
        <v>1962.7633625666899</v>
      </c>
      <c r="GT7">
        <v>2319.23961360879</v>
      </c>
      <c r="GU7">
        <v>2978.5874813775399</v>
      </c>
      <c r="GV7" s="14"/>
      <c r="GW7" s="14"/>
      <c r="HH7" t="str">
        <f t="shared" si="6"/>
        <v/>
      </c>
      <c r="HJ7">
        <f>COUNTIF(HH6:HH30,"Entrenched")</f>
        <v>13</v>
      </c>
      <c r="HK7" t="s">
        <v>255</v>
      </c>
    </row>
    <row r="8" spans="1:219" ht="14.4" customHeight="1" x14ac:dyDescent="0.3">
      <c r="A8" s="128"/>
      <c r="B8" s="3"/>
      <c r="C8" s="3"/>
      <c r="D8" s="3"/>
      <c r="E8" s="3"/>
      <c r="F8" s="3"/>
      <c r="G8" s="3"/>
      <c r="H8" s="3"/>
      <c r="I8" s="3"/>
      <c r="J8" s="3"/>
      <c r="K8" s="3"/>
      <c r="L8" s="3"/>
      <c r="M8" s="3">
        <v>0</v>
      </c>
      <c r="N8" s="3">
        <v>0</v>
      </c>
      <c r="O8" s="3">
        <v>0</v>
      </c>
      <c r="P8" s="3">
        <v>0</v>
      </c>
      <c r="Q8" s="3">
        <v>0</v>
      </c>
      <c r="R8" s="3">
        <v>0</v>
      </c>
      <c r="S8" s="3"/>
      <c r="T8" s="3"/>
      <c r="U8" s="3" t="s">
        <v>161</v>
      </c>
      <c r="V8" s="3" t="s">
        <v>85</v>
      </c>
      <c r="W8" s="3">
        <v>983.63009999999997</v>
      </c>
      <c r="X8" s="3">
        <f t="shared" ref="X8:X30" si="11">IF(ISBLANK(W8),"",W8/($CH8*3.2808399*1000))</f>
        <v>0.28214533462351016</v>
      </c>
      <c r="Y8" s="3">
        <v>0</v>
      </c>
      <c r="Z8" s="3">
        <f t="shared" ref="Z8:Z30" si="12">IF(ISBLANK(Y8),"",Y8/($CH8*3.2808399*1000))</f>
        <v>0</v>
      </c>
      <c r="AA8" s="3">
        <f t="shared" si="0"/>
        <v>0.28214533462351016</v>
      </c>
      <c r="AB8" s="3"/>
      <c r="AC8" s="3">
        <v>0</v>
      </c>
      <c r="AD8" s="3">
        <f t="shared" ref="AD8:AD30" si="13">IF(ISBLANK(AC8),"",AC8/($CH8*3.2808399*1000))</f>
        <v>0</v>
      </c>
      <c r="AE8" s="3">
        <v>0</v>
      </c>
      <c r="AF8" s="3">
        <f t="shared" ref="AF8:AF30" si="14">IF(ISBLANK(AE8),"",AE8/($CH8*3.2808399*1000))</f>
        <v>0</v>
      </c>
      <c r="AG8" s="3">
        <v>3486</v>
      </c>
      <c r="AH8" s="3"/>
      <c r="AI8" s="3"/>
      <c r="AJ8" s="3"/>
      <c r="AK8" s="3"/>
      <c r="AL8" s="120"/>
      <c r="AM8" s="120"/>
      <c r="AN8" s="120"/>
      <c r="AO8" s="120"/>
      <c r="AP8" s="120"/>
      <c r="AQ8" s="3"/>
      <c r="AR8" s="3"/>
      <c r="AS8" s="5" t="s">
        <v>46</v>
      </c>
      <c r="AT8" s="3"/>
      <c r="AU8" s="3"/>
      <c r="AV8" s="121" t="s">
        <v>59</v>
      </c>
      <c r="AW8" s="120"/>
      <c r="AX8" s="3"/>
      <c r="AY8" s="121" t="s">
        <v>59</v>
      </c>
      <c r="AZ8" s="121"/>
      <c r="BA8" s="120"/>
      <c r="BB8" s="120"/>
      <c r="BC8" s="120"/>
      <c r="BD8" s="120"/>
      <c r="BE8" s="121" t="s">
        <v>59</v>
      </c>
      <c r="BF8" s="120"/>
      <c r="BG8" s="120"/>
      <c r="BH8" s="3">
        <v>3486.2159999999999</v>
      </c>
      <c r="BI8" s="3">
        <f t="shared" ref="BI8:BI30" si="15">IF(ISBLANK(BH8),"",BH8/($CH8*3.2808399*1000))</f>
        <v>0.99998930481065507</v>
      </c>
      <c r="BJ8" s="3">
        <v>0</v>
      </c>
      <c r="BK8" s="3">
        <f>IF(ISBLANK(BJ8),"",BJ8/($CH8*3.2808399*1000))</f>
        <v>0</v>
      </c>
      <c r="BL8" s="121" t="s">
        <v>59</v>
      </c>
      <c r="BM8" s="3"/>
      <c r="BN8" s="3"/>
      <c r="BO8" s="3"/>
      <c r="BP8" s="3"/>
      <c r="BQ8" s="121" t="s">
        <v>59</v>
      </c>
      <c r="BR8" s="3"/>
      <c r="BS8" s="3"/>
      <c r="BT8" s="3">
        <v>3.0896439999999998</v>
      </c>
      <c r="BU8" s="3">
        <v>7</v>
      </c>
      <c r="BV8" s="3"/>
      <c r="BW8" s="27"/>
      <c r="BX8" s="3"/>
      <c r="BY8" s="27"/>
      <c r="BZ8" s="170" t="e">
        <f t="shared" si="7"/>
        <v>#NUM!</v>
      </c>
      <c r="CA8" s="170">
        <f t="shared" si="8"/>
        <v>0</v>
      </c>
      <c r="CB8" s="170" t="e">
        <f t="shared" si="9"/>
        <v>#NUM!</v>
      </c>
      <c r="CC8" s="170" t="e">
        <f t="shared" si="10"/>
        <v>#NUM!</v>
      </c>
      <c r="CD8" s="27"/>
      <c r="CE8" s="109" t="s">
        <v>38</v>
      </c>
      <c r="CF8" s="95">
        <v>142</v>
      </c>
      <c r="CG8" s="171" t="s">
        <v>50</v>
      </c>
      <c r="CH8" s="4">
        <f t="shared" si="1"/>
        <v>1.0626099999999998</v>
      </c>
      <c r="CI8" s="17">
        <v>2.6072955553569998E-4</v>
      </c>
      <c r="CJ8" s="239" t="s">
        <v>59</v>
      </c>
      <c r="CK8" s="223"/>
      <c r="CL8" s="223"/>
      <c r="CM8" s="223"/>
      <c r="CN8" s="223"/>
      <c r="CO8" s="223"/>
      <c r="CP8" s="224"/>
      <c r="CQ8" s="222" t="s">
        <v>59</v>
      </c>
      <c r="CR8" s="223"/>
      <c r="CS8" s="223"/>
      <c r="CT8" s="223"/>
      <c r="CU8" s="223"/>
      <c r="CV8" s="223"/>
      <c r="CW8" s="223"/>
      <c r="CX8" s="223"/>
      <c r="CY8" s="223"/>
      <c r="CZ8" s="223"/>
      <c r="DA8" s="223"/>
      <c r="DB8" s="224"/>
      <c r="DC8" s="185"/>
      <c r="DD8" s="185"/>
      <c r="DE8" s="185"/>
      <c r="DF8" s="121"/>
      <c r="DG8" s="121"/>
      <c r="DH8" s="121"/>
      <c r="DI8" s="184" t="s">
        <v>59</v>
      </c>
      <c r="DJ8" s="121"/>
      <c r="DK8" s="121"/>
      <c r="DL8" s="121"/>
      <c r="DM8" s="121"/>
      <c r="DN8" s="121"/>
      <c r="DO8" s="186"/>
      <c r="EM8" s="163" t="s">
        <v>38</v>
      </c>
      <c r="EN8" s="112" t="s">
        <v>59</v>
      </c>
      <c r="EO8" s="22" t="b">
        <f t="shared" si="2"/>
        <v>0</v>
      </c>
      <c r="EP8" s="6"/>
      <c r="EQ8" s="6"/>
      <c r="ER8" s="6"/>
      <c r="ES8" s="68"/>
      <c r="ET8" s="6"/>
      <c r="EU8" s="6"/>
      <c r="EV8" s="6"/>
      <c r="EW8" s="88"/>
      <c r="EX8" s="21"/>
      <c r="EY8" s="21"/>
      <c r="EZ8" s="6"/>
      <c r="FA8" s="6"/>
      <c r="FB8" s="22"/>
      <c r="FC8" s="22"/>
      <c r="FD8" s="11"/>
      <c r="FE8" s="8">
        <v>0.18557629020014499</v>
      </c>
      <c r="FF8" s="9">
        <v>0.19137246386102</v>
      </c>
      <c r="FG8" s="9">
        <v>0.192924204634952</v>
      </c>
      <c r="FH8" s="9">
        <v>0.19306447527627499</v>
      </c>
      <c r="FI8" s="9">
        <v>0.19692376207035001</v>
      </c>
      <c r="FJ8" s="10">
        <v>0.25567418507355799</v>
      </c>
      <c r="FK8" s="14"/>
      <c r="FL8" s="3">
        <v>1062.6099999999999</v>
      </c>
      <c r="FM8" s="5"/>
      <c r="FN8" s="5" t="str">
        <f t="shared" si="3"/>
        <v>na</v>
      </c>
      <c r="FO8" s="5">
        <v>0</v>
      </c>
      <c r="FP8" s="5" t="s">
        <v>44</v>
      </c>
      <c r="FQ8" s="5"/>
      <c r="FR8" s="5"/>
      <c r="FS8" s="68" t="s">
        <v>38</v>
      </c>
      <c r="FT8" s="5"/>
      <c r="FU8" s="5" t="str">
        <f t="shared" si="4"/>
        <v>---</v>
      </c>
      <c r="FV8" s="5"/>
      <c r="FW8" s="5" t="str">
        <f t="shared" si="4"/>
        <v>---</v>
      </c>
      <c r="FX8" s="5"/>
      <c r="FY8" s="4">
        <v>0</v>
      </c>
      <c r="FZ8" s="5"/>
      <c r="GA8" s="5" t="str">
        <f t="shared" si="5"/>
        <v>na</v>
      </c>
      <c r="GC8" t="s">
        <v>38</v>
      </c>
      <c r="GD8">
        <v>7.6693099849411004</v>
      </c>
      <c r="GE8">
        <v>10.799005818249601</v>
      </c>
      <c r="GF8">
        <v>16.947564936915398</v>
      </c>
      <c r="GG8">
        <v>19.663645111802602</v>
      </c>
      <c r="GH8">
        <v>22.2860331696115</v>
      </c>
      <c r="GI8"/>
      <c r="GK8" s="14"/>
      <c r="GL8" s="15">
        <v>2.6072955553569998E-4</v>
      </c>
      <c r="GP8">
        <v>5.3362151489622001</v>
      </c>
      <c r="GQ8">
        <v>7.2991489645055196</v>
      </c>
      <c r="GR8">
        <v>10.901312746047401</v>
      </c>
      <c r="GS8">
        <v>12.344982050353201</v>
      </c>
      <c r="GT8">
        <v>13.205089970393001</v>
      </c>
      <c r="GV8" s="14"/>
      <c r="GW8" s="14"/>
      <c r="HH8" t="str">
        <f t="shared" si="6"/>
        <v>Entrenched</v>
      </c>
      <c r="HJ8">
        <f>COUNTIF(CO:CO,"---")</f>
        <v>13</v>
      </c>
    </row>
    <row r="9" spans="1:219" x14ac:dyDescent="0.3">
      <c r="A9" s="128" t="s">
        <v>128</v>
      </c>
      <c r="B9" s="3">
        <v>120.86</v>
      </c>
      <c r="C9" s="3"/>
      <c r="D9" s="3"/>
      <c r="E9" s="3"/>
      <c r="F9" s="3"/>
      <c r="G9" s="3"/>
      <c r="H9" s="3"/>
      <c r="I9" s="3"/>
      <c r="J9" s="3"/>
      <c r="K9" s="3"/>
      <c r="L9" s="3"/>
      <c r="M9" s="3">
        <v>0</v>
      </c>
      <c r="N9" s="3">
        <v>0</v>
      </c>
      <c r="O9" s="3">
        <v>0</v>
      </c>
      <c r="P9" s="3">
        <v>0</v>
      </c>
      <c r="Q9" s="3">
        <v>0</v>
      </c>
      <c r="R9" s="3">
        <v>0</v>
      </c>
      <c r="S9" s="3"/>
      <c r="T9" s="3"/>
      <c r="U9" s="3" t="s">
        <v>161</v>
      </c>
      <c r="V9" s="3" t="s">
        <v>161</v>
      </c>
      <c r="W9" s="3">
        <v>1832.739</v>
      </c>
      <c r="X9" s="3">
        <f t="shared" si="11"/>
        <v>0.20239299958004661</v>
      </c>
      <c r="Y9" s="3">
        <v>246.3955</v>
      </c>
      <c r="Z9" s="3">
        <f t="shared" si="12"/>
        <v>2.7209943329642342E-2</v>
      </c>
      <c r="AA9" s="3">
        <f t="shared" si="0"/>
        <v>0.22960294290968897</v>
      </c>
      <c r="AB9" s="3">
        <v>7.66</v>
      </c>
      <c r="AC9" s="3">
        <v>1589.5419999999999</v>
      </c>
      <c r="AD9" s="3">
        <f t="shared" si="13"/>
        <v>0.17553627294364688</v>
      </c>
      <c r="AE9" s="3">
        <v>672.77919999999995</v>
      </c>
      <c r="AF9" s="3">
        <f t="shared" si="14"/>
        <v>7.4296340255248602E-2</v>
      </c>
      <c r="AG9" s="3">
        <v>9055</v>
      </c>
      <c r="AH9" s="3" t="s">
        <v>123</v>
      </c>
      <c r="AI9" s="3"/>
      <c r="AJ9" s="3">
        <v>1.0565928220748899</v>
      </c>
      <c r="AK9" s="3">
        <v>432</v>
      </c>
      <c r="AL9" s="5">
        <v>20</v>
      </c>
      <c r="AM9" s="5" t="s">
        <v>85</v>
      </c>
      <c r="AN9" s="5" t="s">
        <v>86</v>
      </c>
      <c r="AO9" s="5">
        <v>12</v>
      </c>
      <c r="AP9" s="5">
        <v>0.65</v>
      </c>
      <c r="AQ9" s="3" t="s">
        <v>80</v>
      </c>
      <c r="AR9" s="3" t="s">
        <v>85</v>
      </c>
      <c r="AS9" s="5" t="s">
        <v>0</v>
      </c>
      <c r="AT9" s="3" t="s">
        <v>126</v>
      </c>
      <c r="AU9" s="3" t="s">
        <v>81</v>
      </c>
      <c r="AV9" s="3"/>
      <c r="AW9" s="23" t="s">
        <v>80</v>
      </c>
      <c r="AX9" s="3" t="s">
        <v>127</v>
      </c>
      <c r="AY9" s="23">
        <v>1.5772358179092401</v>
      </c>
      <c r="AZ9" s="23"/>
      <c r="BA9" s="58" t="str">
        <f>IF(AY9&lt;1.4,"HE",IF(AND(AY9&gt;1.4,AY9&lt;2.2),"ME","NE"))</f>
        <v>ME</v>
      </c>
      <c r="BB9" s="23">
        <v>1.3801801204681401</v>
      </c>
      <c r="BC9" s="4">
        <f>ROUND(BB9,1)</f>
        <v>1.4</v>
      </c>
      <c r="BD9" s="23" t="b">
        <f t="shared" ref="BD9:BD30" si="16">IF(ISBLANK(BC9),"",IF(BC9&gt;=BD$1,TRUE,FALSE))</f>
        <v>1</v>
      </c>
      <c r="BE9" s="5" t="s">
        <v>82</v>
      </c>
      <c r="BF9" s="5" t="s">
        <v>82</v>
      </c>
      <c r="BG9" s="5">
        <v>346</v>
      </c>
      <c r="BH9" s="3">
        <v>9055.23</v>
      </c>
      <c r="BI9" s="3">
        <f t="shared" si="15"/>
        <v>0.99998699301276683</v>
      </c>
      <c r="BJ9" s="3">
        <v>0</v>
      </c>
      <c r="BK9" s="3">
        <f>IF(ISBLANK(BJ9),"",BJ9/($CH9*3.2808399*1000))</f>
        <v>0</v>
      </c>
      <c r="BL9" s="56">
        <f t="shared" ref="BL9:BL30" si="17">IF(ISBLANK(BK9),"",BK9+BI9)</f>
        <v>0.99998699301276683</v>
      </c>
      <c r="BM9" s="3" t="s">
        <v>160</v>
      </c>
      <c r="BN9" s="3">
        <v>4.6449999999999996</v>
      </c>
      <c r="BO9" s="3">
        <v>566.67578130000004</v>
      </c>
      <c r="BP9" s="3">
        <f t="shared" ref="BP9:BP30" si="18">IF(BO9=1093.9300537,BR9+BS9,BO9)</f>
        <v>566.67578130000004</v>
      </c>
      <c r="BQ9" s="57">
        <f t="shared" ref="BQ9:BQ30" si="19">IF(ISBLANK(BS9),"",BP9/(2*$CH9*3.2808399*1000))</f>
        <v>3.128956473526058E-2</v>
      </c>
      <c r="BR9" s="3">
        <v>206.1919</v>
      </c>
      <c r="BS9" s="3">
        <v>360.48390000000001</v>
      </c>
      <c r="BT9" s="3">
        <v>6.2664619999999998</v>
      </c>
      <c r="BU9" s="3">
        <v>3.717177</v>
      </c>
      <c r="BV9" s="3" t="s">
        <v>84</v>
      </c>
      <c r="BW9" s="23" t="s">
        <v>80</v>
      </c>
      <c r="BX9" s="3">
        <v>3.5743835843124301</v>
      </c>
      <c r="BY9" s="170">
        <f t="shared" ref="BY9:BY30" si="20">ROUND(BX9,2-(1+INT((LOG10(ABS(BX9))))))</f>
        <v>3.6</v>
      </c>
      <c r="BZ9" s="170">
        <f t="shared" si="7"/>
        <v>0</v>
      </c>
      <c r="CA9" s="170">
        <f t="shared" si="8"/>
        <v>0.60000000000000009</v>
      </c>
      <c r="CB9" s="170" t="str">
        <f t="shared" si="9"/>
        <v/>
      </c>
      <c r="CC9" s="170" t="str">
        <f t="shared" si="10"/>
        <v>3.6</v>
      </c>
      <c r="CD9" s="27"/>
      <c r="CE9" s="109" t="s">
        <v>19</v>
      </c>
      <c r="CF9" s="95">
        <v>141</v>
      </c>
      <c r="CG9" s="95">
        <v>117.78401927998399</v>
      </c>
      <c r="CH9" s="4">
        <f t="shared" si="1"/>
        <v>2.7600700000000002</v>
      </c>
      <c r="CI9" s="16">
        <v>2.4154879744189999E-3</v>
      </c>
      <c r="CJ9" s="7" t="str">
        <f t="shared" ref="CJ9:CJ30" si="21">IF(BW9="---",BW9,CONCATENATE(BW9," (",CC9,")"))</f>
        <v>SC (3.6)</v>
      </c>
      <c r="CK9" s="3" t="s">
        <v>129</v>
      </c>
      <c r="CL9" s="23">
        <v>1.5772358179092401</v>
      </c>
      <c r="CM9" s="4">
        <v>1.4</v>
      </c>
      <c r="CN9" s="148">
        <v>0.99998699301276683</v>
      </c>
      <c r="CO9" s="145" t="str">
        <f t="shared" ref="CO9:CO30" si="22">FU9</f>
        <v>---</v>
      </c>
      <c r="CP9" s="139" t="str">
        <f t="shared" ref="CP9:CP30" si="23">FW9</f>
        <v>---</v>
      </c>
      <c r="CQ9" s="137">
        <v>0</v>
      </c>
      <c r="CR9" s="95">
        <v>0</v>
      </c>
      <c r="CS9" s="95">
        <v>0</v>
      </c>
      <c r="CT9" s="95">
        <v>0</v>
      </c>
      <c r="CU9" s="95">
        <v>0</v>
      </c>
      <c r="CV9" s="95">
        <v>0</v>
      </c>
      <c r="CW9" s="95">
        <v>0.12761944868586303</v>
      </c>
      <c r="CX9" s="95">
        <v>0.20705626313238143</v>
      </c>
      <c r="CY9" s="95">
        <v>0.22729125609780332</v>
      </c>
      <c r="CZ9" s="95">
        <v>0.30546329095422181</v>
      </c>
      <c r="DA9" s="95">
        <v>0.44125034759469145</v>
      </c>
      <c r="DB9" s="96">
        <v>1.0623789251116493</v>
      </c>
      <c r="DC9" s="3">
        <v>170.02069640478601</v>
      </c>
      <c r="DD9" s="3">
        <v>282.080456875989</v>
      </c>
      <c r="DE9" s="3">
        <v>467.97511319843699</v>
      </c>
      <c r="DF9" s="3">
        <v>170.02069640478601</v>
      </c>
      <c r="DG9" s="3">
        <v>282.080456875989</v>
      </c>
      <c r="DH9" s="3">
        <v>467.97511319843699</v>
      </c>
      <c r="DI9" s="92" t="str">
        <f>IF(FN9="Q1000","&gt;Q500",FN9)</f>
        <v>Q25</v>
      </c>
      <c r="DJ9" s="95">
        <v>93.449662852611198</v>
      </c>
      <c r="DK9" s="95">
        <v>130.95075542190901</v>
      </c>
      <c r="DL9" s="95">
        <v>204.46256274397601</v>
      </c>
      <c r="DM9" s="95">
        <v>235.685654358802</v>
      </c>
      <c r="DN9" s="95">
        <v>274.26771122603299</v>
      </c>
      <c r="DO9" s="96">
        <v>369.08031672416303</v>
      </c>
      <c r="DP9" t="b">
        <f t="shared" ref="DP9:DP32" si="24">EXACT(CE9,DQ9)</f>
        <v>1</v>
      </c>
      <c r="DQ9" t="s">
        <v>19</v>
      </c>
      <c r="DR9">
        <v>117.78401927998399</v>
      </c>
      <c r="EM9" s="163" t="s">
        <v>19</v>
      </c>
      <c r="EN9" s="92" t="str">
        <f t="shared" ref="EN9:EN30" si="25">IF(FR9="","---",IF(FR9="Q1000","&gt;Q500",FR9))</f>
        <v>---</v>
      </c>
      <c r="EO9" s="22" t="b">
        <f t="shared" si="2"/>
        <v>1</v>
      </c>
      <c r="EP9" s="4">
        <v>1.4</v>
      </c>
      <c r="EQ9" s="23">
        <v>1.5772358179092401</v>
      </c>
      <c r="ER9" s="58" t="str">
        <f>IF(EQ9&lt;1.4,"HE",IF(AND(EQ9&gt;1.4,EQ9&lt;2.2),"ME","NE"))</f>
        <v>ME</v>
      </c>
      <c r="ES9" s="68" t="s">
        <v>19</v>
      </c>
      <c r="ET9" s="4">
        <v>2.7600700000000002</v>
      </c>
      <c r="EU9" s="16">
        <v>2.4154879744189999E-3</v>
      </c>
      <c r="EV9" s="5" t="s">
        <v>32</v>
      </c>
      <c r="EW9" t="s">
        <v>50</v>
      </c>
      <c r="EX9" s="18" t="s">
        <v>208</v>
      </c>
      <c r="EY9" s="18" t="s">
        <v>208</v>
      </c>
      <c r="EZ9" s="5" t="s">
        <v>0</v>
      </c>
      <c r="FA9" s="23" t="s">
        <v>80</v>
      </c>
      <c r="FB9" s="22"/>
      <c r="FC9" s="22"/>
      <c r="FD9" s="11"/>
      <c r="FE9" s="8">
        <v>0.13227383074280999</v>
      </c>
      <c r="FF9" s="9">
        <v>0.21171064518930999</v>
      </c>
      <c r="FG9" s="9">
        <v>0.23194563815468699</v>
      </c>
      <c r="FH9" s="9">
        <v>0.31011767301120902</v>
      </c>
      <c r="FI9" s="9">
        <v>0.44590472965158101</v>
      </c>
      <c r="FJ9" s="10">
        <v>1.0670333071686799</v>
      </c>
      <c r="FK9" s="14"/>
      <c r="FL9" s="3">
        <v>2760.07</v>
      </c>
      <c r="FM9" s="5">
        <v>25</v>
      </c>
      <c r="FN9" s="5" t="str">
        <f t="shared" si="3"/>
        <v>Q25</v>
      </c>
      <c r="FO9" s="5">
        <v>0</v>
      </c>
      <c r="FP9" s="5" t="s">
        <v>44</v>
      </c>
      <c r="FQ9" s="5"/>
      <c r="FR9" s="5"/>
      <c r="FS9" s="68" t="s">
        <v>19</v>
      </c>
      <c r="FT9" s="5"/>
      <c r="FU9" s="5" t="str">
        <f t="shared" si="4"/>
        <v>---</v>
      </c>
      <c r="FV9" s="5"/>
      <c r="FW9" s="5" t="str">
        <f t="shared" si="4"/>
        <v>---</v>
      </c>
      <c r="FX9" s="5"/>
      <c r="FY9" s="4">
        <v>0</v>
      </c>
      <c r="FZ9" s="5"/>
      <c r="GA9" s="5" t="str">
        <f t="shared" si="5"/>
        <v>na</v>
      </c>
      <c r="GC9" t="s">
        <v>19</v>
      </c>
      <c r="GD9">
        <v>93.449662852611198</v>
      </c>
      <c r="GE9">
        <v>130.95075542190901</v>
      </c>
      <c r="GF9">
        <v>204.46256274397601</v>
      </c>
      <c r="GG9">
        <v>235.685654358802</v>
      </c>
      <c r="GH9">
        <v>274.26771122603299</v>
      </c>
      <c r="GI9">
        <v>369.08031672416303</v>
      </c>
      <c r="GK9" s="14"/>
      <c r="GL9" s="15">
        <v>2.4154879744189999E-3</v>
      </c>
      <c r="GM9">
        <v>170.02069640478601</v>
      </c>
      <c r="GN9">
        <v>282.080456875989</v>
      </c>
      <c r="GO9">
        <v>467.97511319843699</v>
      </c>
      <c r="GP9">
        <v>64.767143096645398</v>
      </c>
      <c r="GQ9">
        <v>85.857534325274102</v>
      </c>
      <c r="GR9">
        <v>126.903591185409</v>
      </c>
      <c r="GS9">
        <v>141.81214925656701</v>
      </c>
      <c r="GT9">
        <v>156.267130513154</v>
      </c>
      <c r="GU9">
        <v>183.49713572166499</v>
      </c>
      <c r="GV9" s="14"/>
      <c r="GW9" s="14"/>
      <c r="HB9">
        <v>1</v>
      </c>
      <c r="HC9">
        <f>IF(AND(HB9=1,ISBLANK(HA9)),1,"")</f>
        <v>1</v>
      </c>
      <c r="HE9">
        <v>1</v>
      </c>
      <c r="HF9">
        <f>SUM(HD9:HE9)</f>
        <v>1</v>
      </c>
      <c r="HG9" t="str">
        <f>IF(AND(HD9=1,ISBLANK(HE9)),1,"")</f>
        <v/>
      </c>
      <c r="HH9" t="str">
        <f t="shared" si="6"/>
        <v>Entrenched</v>
      </c>
    </row>
    <row r="10" spans="1:219" x14ac:dyDescent="0.3">
      <c r="A10" s="128" t="s">
        <v>85</v>
      </c>
      <c r="B10" s="3">
        <v>119.83</v>
      </c>
      <c r="C10" s="3"/>
      <c r="D10" s="3"/>
      <c r="E10" s="3"/>
      <c r="F10" s="3"/>
      <c r="G10" s="3"/>
      <c r="H10" s="3"/>
      <c r="I10" s="3"/>
      <c r="J10" s="3"/>
      <c r="K10" s="3"/>
      <c r="L10" s="3"/>
      <c r="M10" s="3">
        <v>0</v>
      </c>
      <c r="N10" s="3">
        <v>0</v>
      </c>
      <c r="O10" s="3">
        <v>0</v>
      </c>
      <c r="P10" s="3">
        <v>0</v>
      </c>
      <c r="Q10" s="3">
        <v>0</v>
      </c>
      <c r="R10" s="3">
        <v>0</v>
      </c>
      <c r="S10" s="3"/>
      <c r="T10" s="3">
        <v>16</v>
      </c>
      <c r="U10" s="3" t="s">
        <v>161</v>
      </c>
      <c r="V10" s="3" t="s">
        <v>161</v>
      </c>
      <c r="W10" s="3">
        <v>2769.79</v>
      </c>
      <c r="X10" s="3">
        <f t="shared" si="11"/>
        <v>0.2848997356684082</v>
      </c>
      <c r="Y10" s="3">
        <v>983.98</v>
      </c>
      <c r="Z10" s="3">
        <f t="shared" si="12"/>
        <v>0.10121187595557797</v>
      </c>
      <c r="AA10" s="3">
        <f t="shared" si="0"/>
        <v>0.38611161162398616</v>
      </c>
      <c r="AB10" s="3">
        <v>7.64</v>
      </c>
      <c r="AC10" s="3">
        <v>1472.03</v>
      </c>
      <c r="AD10" s="3">
        <f t="shared" si="13"/>
        <v>0.15141254676201696</v>
      </c>
      <c r="AE10" s="3">
        <v>284.32</v>
      </c>
      <c r="AF10" s="3">
        <f t="shared" si="14"/>
        <v>2.9245066537622644E-2</v>
      </c>
      <c r="AG10" s="3">
        <v>9722</v>
      </c>
      <c r="AH10" s="3" t="s">
        <v>123</v>
      </c>
      <c r="AI10" s="3">
        <v>8</v>
      </c>
      <c r="AJ10" s="3">
        <v>1.14014303684235</v>
      </c>
      <c r="AK10" s="3">
        <v>616</v>
      </c>
      <c r="AL10" s="5">
        <v>19</v>
      </c>
      <c r="AM10" s="5" t="s">
        <v>85</v>
      </c>
      <c r="AN10" s="5" t="s">
        <v>81</v>
      </c>
      <c r="AO10" s="5">
        <v>13</v>
      </c>
      <c r="AP10" s="5">
        <v>0.61250000000000004</v>
      </c>
      <c r="AQ10" s="3" t="s">
        <v>88</v>
      </c>
      <c r="AR10" s="3" t="s">
        <v>85</v>
      </c>
      <c r="AS10" s="5" t="s">
        <v>1</v>
      </c>
      <c r="AT10" s="3" t="s">
        <v>120</v>
      </c>
      <c r="AU10" s="3" t="s">
        <v>81</v>
      </c>
      <c r="AV10" s="3"/>
      <c r="AW10" s="23" t="s">
        <v>88</v>
      </c>
      <c r="AX10" s="3" t="s">
        <v>129</v>
      </c>
      <c r="AY10" s="23">
        <v>3.0424644947052002</v>
      </c>
      <c r="AZ10" s="23"/>
      <c r="BA10" s="28" t="str">
        <f t="shared" ref="BA10:BA30" si="26">IF(AY10&lt;1.4,"HE",IF(AND(AY10&gt;1.4,AY10&lt;2.2),"ME","NE"))</f>
        <v>NE</v>
      </c>
      <c r="BB10" s="23">
        <v>1.6289978027343801</v>
      </c>
      <c r="BC10" s="4">
        <f t="shared" ref="BC10:BC30" si="27">ROUND(BB10,1)</f>
        <v>1.6</v>
      </c>
      <c r="BD10" s="23" t="b">
        <f t="shared" si="16"/>
        <v>1</v>
      </c>
      <c r="BE10" s="5" t="s">
        <v>82</v>
      </c>
      <c r="BF10" s="5" t="s">
        <v>82</v>
      </c>
      <c r="BG10" s="5">
        <v>500</v>
      </c>
      <c r="BH10" s="3">
        <v>7443.46</v>
      </c>
      <c r="BI10" s="3">
        <f t="shared" si="15"/>
        <v>0.76563197443068598</v>
      </c>
      <c r="BJ10" s="3">
        <v>2356.5</v>
      </c>
      <c r="BK10" s="3">
        <f>IF(ISBLANK(BJ10),"",BJ10/($CH10*3.2808399*1000))</f>
        <v>0.24238885514880332</v>
      </c>
      <c r="BL10" s="56">
        <f t="shared" si="17"/>
        <v>1.0080208295794892</v>
      </c>
      <c r="BM10" s="3" t="s">
        <v>162</v>
      </c>
      <c r="BN10" s="3">
        <v>3.2730000000000001</v>
      </c>
      <c r="BO10" s="3">
        <v>3287.9499512000002</v>
      </c>
      <c r="BP10" s="3">
        <f t="shared" si="18"/>
        <v>3287.9499512000002</v>
      </c>
      <c r="BQ10" s="57">
        <f t="shared" si="19"/>
        <v>0.16909875333289451</v>
      </c>
      <c r="BR10" s="3">
        <v>1139.23</v>
      </c>
      <c r="BS10" s="3">
        <v>2148.7199999999998</v>
      </c>
      <c r="BT10" s="3">
        <v>3.0008599999999999</v>
      </c>
      <c r="BU10" s="3">
        <v>3.4174859999999998</v>
      </c>
      <c r="BV10" s="3" t="s">
        <v>87</v>
      </c>
      <c r="BW10" s="23" t="s">
        <v>88</v>
      </c>
      <c r="BX10" s="3">
        <v>5.1406158724860198</v>
      </c>
      <c r="BY10" s="170">
        <f t="shared" si="20"/>
        <v>5.0999999999999996</v>
      </c>
      <c r="BZ10" s="170">
        <f t="shared" si="7"/>
        <v>0</v>
      </c>
      <c r="CA10" s="170">
        <f t="shared" si="8"/>
        <v>9.9999999999999645E-2</v>
      </c>
      <c r="CB10" s="170" t="str">
        <f t="shared" si="9"/>
        <v/>
      </c>
      <c r="CC10" s="170" t="str">
        <f t="shared" si="10"/>
        <v>5.1</v>
      </c>
      <c r="CD10" s="27"/>
      <c r="CE10" s="109" t="s">
        <v>20</v>
      </c>
      <c r="CF10" s="95">
        <v>139</v>
      </c>
      <c r="CG10" s="95">
        <v>124.75578996767101</v>
      </c>
      <c r="CH10" s="4">
        <f t="shared" si="1"/>
        <v>2.96326</v>
      </c>
      <c r="CI10" s="16">
        <v>1.7886953094548E-3</v>
      </c>
      <c r="CJ10" s="7" t="str">
        <f t="shared" si="21"/>
        <v>NW (5.1)</v>
      </c>
      <c r="CK10" s="3" t="s">
        <v>129</v>
      </c>
      <c r="CL10" s="23">
        <v>3.0424644947052002</v>
      </c>
      <c r="CM10" s="4">
        <v>1.6</v>
      </c>
      <c r="CN10" s="148">
        <v>1</v>
      </c>
      <c r="CO10" s="145" t="str">
        <f t="shared" si="22"/>
        <v>Q2</v>
      </c>
      <c r="CP10" s="139" t="str">
        <f t="shared" si="23"/>
        <v>---</v>
      </c>
      <c r="CQ10" s="137">
        <v>32.672462085675903</v>
      </c>
      <c r="CR10" s="95">
        <v>32.672462085675903</v>
      </c>
      <c r="CS10" s="95">
        <v>32.672462085675903</v>
      </c>
      <c r="CT10" s="95">
        <v>32.672462085675903</v>
      </c>
      <c r="CU10" s="95">
        <v>32.672462085675903</v>
      </c>
      <c r="CV10" s="95">
        <v>32.672462085675903</v>
      </c>
      <c r="CW10" s="95">
        <v>2.321445315147908</v>
      </c>
      <c r="CX10" s="95">
        <v>2.5012131674082765</v>
      </c>
      <c r="CY10" s="95">
        <v>2.5288452357088138</v>
      </c>
      <c r="CZ10" s="95">
        <v>2.5367200529131293</v>
      </c>
      <c r="DA10" s="95">
        <v>2.5802023348956924</v>
      </c>
      <c r="DB10" s="96">
        <v>2.6187687221195541</v>
      </c>
      <c r="DC10" s="3">
        <v>77.892847846711703</v>
      </c>
      <c r="DD10" s="3">
        <v>204.20160038779201</v>
      </c>
      <c r="DE10" s="3">
        <v>411.22854439845099</v>
      </c>
      <c r="DF10" s="3">
        <v>77.892847846711703</v>
      </c>
      <c r="DG10" s="3">
        <v>204.20160038779201</v>
      </c>
      <c r="DH10" s="3">
        <v>411.22854439845099</v>
      </c>
      <c r="DI10" s="92" t="str">
        <f>IF(FN10="Q1000","&gt;Q500",FN10)</f>
        <v>Q5</v>
      </c>
      <c r="DJ10" s="95">
        <v>72.238309444652501</v>
      </c>
      <c r="DK10" s="95">
        <v>96.1549612954324</v>
      </c>
      <c r="DL10" s="95">
        <v>140.475668622098</v>
      </c>
      <c r="DM10" s="95">
        <v>162.14671255845599</v>
      </c>
      <c r="DN10" s="95">
        <v>178.31180583655299</v>
      </c>
      <c r="DO10" s="96">
        <v>232.69238882405</v>
      </c>
      <c r="DP10" t="b">
        <f t="shared" si="24"/>
        <v>1</v>
      </c>
      <c r="DQ10" t="s">
        <v>20</v>
      </c>
      <c r="DR10">
        <v>124.75578996767101</v>
      </c>
      <c r="EM10" s="163" t="s">
        <v>20</v>
      </c>
      <c r="EN10" s="92" t="str">
        <f t="shared" si="25"/>
        <v>Q2</v>
      </c>
      <c r="EO10" s="22" t="b">
        <f t="shared" si="2"/>
        <v>1</v>
      </c>
      <c r="EP10" s="4">
        <v>1.6</v>
      </c>
      <c r="EQ10" s="58">
        <v>3.0424644947052002</v>
      </c>
      <c r="ER10" s="28" t="str">
        <f t="shared" ref="ER10:ER30" si="28">IF(EQ10&lt;1.4,"HE",IF(AND(EQ10&gt;1.4,EQ10&lt;2.2),"ME","NE"))</f>
        <v>NE</v>
      </c>
      <c r="ES10" s="68" t="s">
        <v>20</v>
      </c>
      <c r="ET10" s="4">
        <v>2.96326</v>
      </c>
      <c r="EU10" s="16">
        <v>1.7886953094548E-3</v>
      </c>
      <c r="EV10" s="5" t="s">
        <v>31</v>
      </c>
      <c r="EW10" s="74" t="s">
        <v>30</v>
      </c>
      <c r="EX10" s="77" t="s">
        <v>86</v>
      </c>
      <c r="EY10" s="77" t="s">
        <v>86</v>
      </c>
      <c r="EZ10" s="78" t="s">
        <v>1</v>
      </c>
      <c r="FA10" s="58" t="s">
        <v>88</v>
      </c>
      <c r="FB10" s="22"/>
      <c r="FC10" s="22"/>
      <c r="FD10" s="11"/>
      <c r="FE10" s="8">
        <v>2.3215187496730598</v>
      </c>
      <c r="FF10" s="9">
        <v>2.50128660193334</v>
      </c>
      <c r="FG10" s="9">
        <v>2.5289186702338902</v>
      </c>
      <c r="FH10" s="9">
        <v>2.5367934874381799</v>
      </c>
      <c r="FI10" s="9">
        <v>2.58027576942085</v>
      </c>
      <c r="FJ10" s="10">
        <v>2.61884215664469</v>
      </c>
      <c r="FK10" s="14"/>
      <c r="FL10" s="3">
        <v>2963.26</v>
      </c>
      <c r="FM10" s="5">
        <v>5</v>
      </c>
      <c r="FN10" s="5" t="str">
        <f t="shared" si="3"/>
        <v>Q5</v>
      </c>
      <c r="FO10" s="5">
        <v>168094</v>
      </c>
      <c r="FP10" s="5">
        <v>168094</v>
      </c>
      <c r="FQ10" s="5">
        <v>2</v>
      </c>
      <c r="FR10" s="5" t="str">
        <f>IF(ISBLANK(FQ10),"na",CONCATENATE("Q",FQ10))</f>
        <v>Q2</v>
      </c>
      <c r="FS10" s="68" t="s">
        <v>20</v>
      </c>
      <c r="FT10" s="5">
        <v>2</v>
      </c>
      <c r="FU10" s="5" t="str">
        <f t="shared" si="4"/>
        <v>Q2</v>
      </c>
      <c r="FV10" s="5"/>
      <c r="FW10" s="5" t="str">
        <f t="shared" si="4"/>
        <v>---</v>
      </c>
      <c r="FX10" s="5">
        <v>0.5</v>
      </c>
      <c r="FY10" s="4">
        <v>56.726038214668897</v>
      </c>
      <c r="FZ10" s="5">
        <v>56.726038214668897</v>
      </c>
      <c r="GA10" s="4">
        <f t="shared" si="5"/>
        <v>56.726038214668897</v>
      </c>
      <c r="GC10" t="s">
        <v>20</v>
      </c>
      <c r="GD10">
        <v>72.238309444652501</v>
      </c>
      <c r="GE10">
        <v>96.1549612954324</v>
      </c>
      <c r="GF10">
        <v>140.475668622098</v>
      </c>
      <c r="GG10">
        <v>162.14671255845599</v>
      </c>
      <c r="GH10">
        <v>178.31180583655299</v>
      </c>
      <c r="GI10">
        <v>232.69238882405</v>
      </c>
      <c r="GJ10" s="19"/>
      <c r="GK10" s="14"/>
      <c r="GL10" s="15">
        <v>1.7886953094548E-3</v>
      </c>
      <c r="GM10">
        <v>77.892847846711703</v>
      </c>
      <c r="GN10">
        <v>204.20160038779201</v>
      </c>
      <c r="GO10">
        <v>411.22854439845099</v>
      </c>
      <c r="GP10">
        <v>30.266374600366301</v>
      </c>
      <c r="GQ10">
        <v>37.822376834068301</v>
      </c>
      <c r="GR10">
        <v>55.172954111208902</v>
      </c>
      <c r="GS10">
        <v>63.909799179547598</v>
      </c>
      <c r="GT10">
        <v>69.708281355820901</v>
      </c>
      <c r="GU10">
        <v>91.462620233294899</v>
      </c>
      <c r="GV10" s="14"/>
      <c r="GW10" s="14"/>
      <c r="HA10">
        <v>1</v>
      </c>
      <c r="HB10">
        <v>1</v>
      </c>
      <c r="HC10" t="str">
        <f t="shared" ref="HC10:HC30" si="29">IF(AND(HB10=1,ISBLANK(HA10)),1,"")</f>
        <v/>
      </c>
      <c r="HD10">
        <v>1</v>
      </c>
      <c r="HE10">
        <v>1</v>
      </c>
      <c r="HF10">
        <f t="shared" ref="HF10:HF30" si="30">SUM(HD10:HE10)</f>
        <v>2</v>
      </c>
      <c r="HG10" t="str">
        <f t="shared" ref="HG10:HG30" si="31">IF(AND(HD10=1,ISBLANK(HE10)),1,"")</f>
        <v/>
      </c>
      <c r="HH10" t="str">
        <f t="shared" si="6"/>
        <v/>
      </c>
      <c r="HI10" t="b">
        <f>ISNUMBER(CL6)</f>
        <v>0</v>
      </c>
    </row>
    <row r="11" spans="1:219" x14ac:dyDescent="0.3">
      <c r="A11" s="128" t="s">
        <v>124</v>
      </c>
      <c r="B11" s="3">
        <v>116.72</v>
      </c>
      <c r="C11" s="3"/>
      <c r="D11" s="3"/>
      <c r="E11" s="3"/>
      <c r="F11" s="3"/>
      <c r="G11" s="3"/>
      <c r="H11" s="3"/>
      <c r="I11" s="3"/>
      <c r="J11" s="3"/>
      <c r="K11" s="3"/>
      <c r="L11" s="3"/>
      <c r="M11" s="3">
        <v>0</v>
      </c>
      <c r="N11" s="3">
        <v>0</v>
      </c>
      <c r="O11" s="3">
        <v>0</v>
      </c>
      <c r="P11" s="3">
        <v>0</v>
      </c>
      <c r="Q11" s="3">
        <v>0</v>
      </c>
      <c r="R11" s="3">
        <v>0</v>
      </c>
      <c r="S11" s="3"/>
      <c r="T11" s="3"/>
      <c r="U11" s="3" t="s">
        <v>128</v>
      </c>
      <c r="V11" s="3" t="s">
        <v>128</v>
      </c>
      <c r="W11" s="3">
        <v>231.97989999999999</v>
      </c>
      <c r="X11" s="3">
        <f t="shared" si="11"/>
        <v>8.9133621269452123E-2</v>
      </c>
      <c r="Y11" s="3">
        <v>931.7826</v>
      </c>
      <c r="Z11" s="3">
        <f t="shared" si="12"/>
        <v>0.35801876530624166</v>
      </c>
      <c r="AA11" s="3">
        <f t="shared" si="0"/>
        <v>0.44715238657569378</v>
      </c>
      <c r="AB11" s="3">
        <v>10.1</v>
      </c>
      <c r="AC11" s="3">
        <v>2371.5740000000001</v>
      </c>
      <c r="AD11" s="3">
        <f t="shared" si="13"/>
        <v>0.911229717438794</v>
      </c>
      <c r="AE11" s="3">
        <v>227.12129999999999</v>
      </c>
      <c r="AF11" s="3">
        <f t="shared" si="14"/>
        <v>8.7266801720431886E-2</v>
      </c>
      <c r="AG11" s="3">
        <v>2603</v>
      </c>
      <c r="AH11" s="3" t="s">
        <v>123</v>
      </c>
      <c r="AI11" s="3"/>
      <c r="AJ11" s="3">
        <v>1.07650947570801</v>
      </c>
      <c r="AK11" s="3">
        <v>707</v>
      </c>
      <c r="AL11" s="5">
        <v>22</v>
      </c>
      <c r="AM11" s="5" t="s">
        <v>91</v>
      </c>
      <c r="AN11" s="5" t="s">
        <v>86</v>
      </c>
      <c r="AO11" s="5">
        <v>7</v>
      </c>
      <c r="AP11" s="5">
        <v>0.58750000000000002</v>
      </c>
      <c r="AQ11" s="3" t="s">
        <v>89</v>
      </c>
      <c r="AR11" s="3" t="s">
        <v>85</v>
      </c>
      <c r="AS11" s="5" t="s">
        <v>1</v>
      </c>
      <c r="AT11" s="3" t="s">
        <v>120</v>
      </c>
      <c r="AU11" s="3" t="s">
        <v>81</v>
      </c>
      <c r="AV11" s="3"/>
      <c r="AW11" s="23" t="s">
        <v>80</v>
      </c>
      <c r="AX11" s="3" t="s">
        <v>127</v>
      </c>
      <c r="AY11" s="23">
        <v>1.7247385978698699</v>
      </c>
      <c r="AZ11" s="23"/>
      <c r="BA11" s="58" t="str">
        <f t="shared" si="26"/>
        <v>ME</v>
      </c>
      <c r="BB11" s="23">
        <v>1.69463098049164</v>
      </c>
      <c r="BC11" s="4">
        <f t="shared" si="27"/>
        <v>1.7</v>
      </c>
      <c r="BD11" s="23" t="b">
        <f t="shared" si="16"/>
        <v>1</v>
      </c>
      <c r="BE11" s="5" t="s">
        <v>90</v>
      </c>
      <c r="BF11" s="5" t="s">
        <v>82</v>
      </c>
      <c r="BG11" s="5">
        <v>373</v>
      </c>
      <c r="BH11" s="3">
        <v>1851.144</v>
      </c>
      <c r="BI11" s="3">
        <f t="shared" si="15"/>
        <v>0.71126493377753286</v>
      </c>
      <c r="BJ11" s="3">
        <v>550.82349999999997</v>
      </c>
      <c r="BK11" s="3">
        <f>IF(ISBLANK(BJ11),"",BJ11/($CH11*3.2808399*1000))</f>
        <v>0.21164287610829241</v>
      </c>
      <c r="BL11" s="56">
        <f t="shared" si="17"/>
        <v>0.92290780988582521</v>
      </c>
      <c r="BM11" s="3" t="s">
        <v>160</v>
      </c>
      <c r="BN11" s="3">
        <v>2.1579999999999999</v>
      </c>
      <c r="BO11" s="3">
        <v>647.15386960000001</v>
      </c>
      <c r="BP11" s="3">
        <f t="shared" si="18"/>
        <v>647.15386960000001</v>
      </c>
      <c r="BQ11" s="57">
        <f t="shared" si="19"/>
        <v>0.12432794374854635</v>
      </c>
      <c r="BR11" s="3">
        <v>544.97190000000001</v>
      </c>
      <c r="BS11" s="3">
        <v>102.1819</v>
      </c>
      <c r="BT11" s="3">
        <v>2</v>
      </c>
      <c r="BU11" s="3">
        <v>3</v>
      </c>
      <c r="BV11" s="3" t="s">
        <v>87</v>
      </c>
      <c r="BW11" s="23" t="s">
        <v>80</v>
      </c>
      <c r="BX11" s="3">
        <v>6.0572309801233697</v>
      </c>
      <c r="BY11" s="170">
        <f t="shared" si="20"/>
        <v>6.1</v>
      </c>
      <c r="BZ11" s="170">
        <f t="shared" si="7"/>
        <v>0</v>
      </c>
      <c r="CA11" s="170">
        <f t="shared" si="8"/>
        <v>9.9999999999999645E-2</v>
      </c>
      <c r="CB11" s="170" t="str">
        <f t="shared" si="9"/>
        <v/>
      </c>
      <c r="CC11" s="170" t="str">
        <f t="shared" si="10"/>
        <v>6.1</v>
      </c>
      <c r="CD11" s="27"/>
      <c r="CE11" s="109" t="s">
        <v>2</v>
      </c>
      <c r="CF11" s="95">
        <v>132</v>
      </c>
      <c r="CG11" s="95">
        <v>196.472259490233</v>
      </c>
      <c r="CH11" s="4">
        <f t="shared" si="1"/>
        <v>0.79327499999999995</v>
      </c>
      <c r="CI11" s="16">
        <v>1.5332363633946001E-3</v>
      </c>
      <c r="CJ11" s="7" t="str">
        <f t="shared" si="21"/>
        <v>SC (6.1)</v>
      </c>
      <c r="CK11" s="3" t="s">
        <v>129</v>
      </c>
      <c r="CL11" s="23">
        <v>1.7247385978698699</v>
      </c>
      <c r="CM11" s="4">
        <v>1.7</v>
      </c>
      <c r="CN11" s="148">
        <v>0.92290780988582521</v>
      </c>
      <c r="CO11" s="145" t="str">
        <f t="shared" si="22"/>
        <v>Q100</v>
      </c>
      <c r="CP11" s="139" t="str">
        <f t="shared" si="23"/>
        <v>Q2</v>
      </c>
      <c r="CQ11" s="137">
        <v>0</v>
      </c>
      <c r="CR11" s="95">
        <v>0</v>
      </c>
      <c r="CS11" s="95">
        <v>0</v>
      </c>
      <c r="CT11" s="95">
        <v>0</v>
      </c>
      <c r="CU11" s="95">
        <v>12.2731713466326</v>
      </c>
      <c r="CV11" s="95">
        <v>199.76426838107801</v>
      </c>
      <c r="CW11" s="95">
        <v>5.7069543685761559</v>
      </c>
      <c r="CX11" s="95">
        <v>12.593038698273158</v>
      </c>
      <c r="CY11" s="95">
        <v>14.303316293852069</v>
      </c>
      <c r="CZ11" s="95">
        <v>14.359468536540419</v>
      </c>
      <c r="DA11" s="95">
        <v>15.636107444276197</v>
      </c>
      <c r="DB11" s="96">
        <v>18.908927410056286</v>
      </c>
      <c r="DC11" s="3">
        <v>139.37132086486301</v>
      </c>
      <c r="DD11" s="3">
        <v>397.16283997791601</v>
      </c>
      <c r="DE11" s="3">
        <v>1271.4143415188901</v>
      </c>
      <c r="DF11" s="3">
        <v>139.37132086486301</v>
      </c>
      <c r="DG11" s="3">
        <v>397.16283997791601</v>
      </c>
      <c r="DH11" s="3">
        <v>1271.4143415188901</v>
      </c>
      <c r="DI11" s="92" t="str">
        <f>IF(FN11="Q1000","&gt;Q500",FN11)</f>
        <v>Q100</v>
      </c>
      <c r="DJ11" s="95">
        <v>57.730233318255102</v>
      </c>
      <c r="DK11" s="95">
        <v>81.896132605717497</v>
      </c>
      <c r="DL11" s="95">
        <v>112.723847443701</v>
      </c>
      <c r="DM11" s="95">
        <v>127.61254751385999</v>
      </c>
      <c r="DN11" s="95">
        <v>143.404503162634</v>
      </c>
      <c r="DO11" s="96">
        <v>178.38847391407199</v>
      </c>
      <c r="DP11" t="b">
        <f t="shared" si="24"/>
        <v>1</v>
      </c>
      <c r="DQ11" t="s">
        <v>2</v>
      </c>
      <c r="DR11">
        <v>196.472259490233</v>
      </c>
      <c r="EM11" s="163" t="s">
        <v>2</v>
      </c>
      <c r="EN11" s="92" t="str">
        <f t="shared" si="25"/>
        <v>Q2</v>
      </c>
      <c r="EO11" s="22" t="b">
        <f t="shared" si="2"/>
        <v>1</v>
      </c>
      <c r="EP11" s="4">
        <v>1.7</v>
      </c>
      <c r="EQ11" s="23">
        <v>1.7247385978698699</v>
      </c>
      <c r="ER11" s="58" t="str">
        <f t="shared" si="28"/>
        <v>ME</v>
      </c>
      <c r="ES11" s="68" t="s">
        <v>2</v>
      </c>
      <c r="ET11" s="4">
        <v>0.79327499999999995</v>
      </c>
      <c r="EU11" s="16">
        <v>1.5332363633946001E-3</v>
      </c>
      <c r="EV11" s="5" t="s">
        <v>34</v>
      </c>
      <c r="EW11" t="s">
        <v>30</v>
      </c>
      <c r="EX11" s="18" t="s">
        <v>208</v>
      </c>
      <c r="EY11" s="18" t="s">
        <v>86</v>
      </c>
      <c r="EZ11" s="5" t="s">
        <v>1</v>
      </c>
      <c r="FA11" s="23" t="s">
        <v>80</v>
      </c>
      <c r="FB11" s="22"/>
      <c r="FC11" s="22"/>
      <c r="FD11" s="11"/>
      <c r="FE11" s="8">
        <v>5.70823000738116</v>
      </c>
      <c r="FF11" s="9">
        <v>12.5943143370783</v>
      </c>
      <c r="FG11" s="9">
        <v>14.3045919326569</v>
      </c>
      <c r="FH11" s="9">
        <v>14.3607441753456</v>
      </c>
      <c r="FI11" s="9">
        <v>15.637383083081399</v>
      </c>
      <c r="FJ11" s="10">
        <v>18.910203048861799</v>
      </c>
      <c r="FK11" s="14"/>
      <c r="FL11" s="3">
        <v>793.27499999999998</v>
      </c>
      <c r="FM11" s="5">
        <v>100</v>
      </c>
      <c r="FN11" s="5" t="str">
        <f t="shared" si="3"/>
        <v>Q100</v>
      </c>
      <c r="FO11" s="5">
        <v>178499</v>
      </c>
      <c r="FP11" s="5">
        <v>28157</v>
      </c>
      <c r="FQ11" s="5">
        <v>2</v>
      </c>
      <c r="FR11" s="5" t="str">
        <f>IF(ISBLANK(FQ11),"na",CONCATENATE("Q",FQ11))</f>
        <v>Q2</v>
      </c>
      <c r="FS11" s="68" t="s">
        <v>2</v>
      </c>
      <c r="FT11" s="5">
        <v>100</v>
      </c>
      <c r="FU11" s="5" t="str">
        <f t="shared" si="4"/>
        <v>Q100</v>
      </c>
      <c r="FV11" s="5">
        <v>2</v>
      </c>
      <c r="FW11" s="5" t="str">
        <f t="shared" si="4"/>
        <v>Q2</v>
      </c>
      <c r="FX11" s="5">
        <v>0.5</v>
      </c>
      <c r="FY11" s="4">
        <v>225.01528473732299</v>
      </c>
      <c r="FZ11" s="5">
        <v>35.494626705745098</v>
      </c>
      <c r="GA11" s="4">
        <f t="shared" si="5"/>
        <v>35.494626705745098</v>
      </c>
      <c r="GC11" t="s">
        <v>2</v>
      </c>
      <c r="GD11">
        <v>57.730233318255102</v>
      </c>
      <c r="GE11">
        <v>81.896132605717497</v>
      </c>
      <c r="GF11">
        <v>112.723847443701</v>
      </c>
      <c r="GG11">
        <v>127.61254751385999</v>
      </c>
      <c r="GH11">
        <v>143.404503162634</v>
      </c>
      <c r="GI11">
        <v>178.38847391407199</v>
      </c>
      <c r="GJ11" s="19"/>
      <c r="GK11" s="14"/>
      <c r="GL11" s="15">
        <v>1.5332363633946001E-3</v>
      </c>
      <c r="GM11">
        <v>139.37132086486301</v>
      </c>
      <c r="GN11">
        <v>397.16283997791601</v>
      </c>
      <c r="GO11">
        <v>1271.4143415188901</v>
      </c>
      <c r="GP11">
        <v>28.802874970265599</v>
      </c>
      <c r="GQ11">
        <v>37.025404340878801</v>
      </c>
      <c r="GR11">
        <v>41.055971029910602</v>
      </c>
      <c r="GS11">
        <v>45.676405671218298</v>
      </c>
      <c r="GT11">
        <v>50.712401909964903</v>
      </c>
      <c r="GU11">
        <v>51.039126733966398</v>
      </c>
      <c r="GV11" s="14"/>
      <c r="GW11" s="14"/>
      <c r="HC11" t="str">
        <f t="shared" si="29"/>
        <v/>
      </c>
      <c r="HD11">
        <v>1</v>
      </c>
      <c r="HF11">
        <f t="shared" si="30"/>
        <v>1</v>
      </c>
      <c r="HG11">
        <f t="shared" si="31"/>
        <v>1</v>
      </c>
      <c r="HH11" t="str">
        <f t="shared" si="6"/>
        <v>Entrenched</v>
      </c>
    </row>
    <row r="12" spans="1:219" x14ac:dyDescent="0.3">
      <c r="A12" s="128"/>
      <c r="B12" s="3">
        <v>116.59</v>
      </c>
      <c r="C12" s="3"/>
      <c r="D12" s="3"/>
      <c r="E12" s="3"/>
      <c r="F12" s="3"/>
      <c r="G12" s="3"/>
      <c r="H12" s="3"/>
      <c r="I12" s="3"/>
      <c r="J12" s="3"/>
      <c r="K12" s="3"/>
      <c r="L12" s="3"/>
      <c r="M12" s="3"/>
      <c r="N12" s="3"/>
      <c r="O12" s="3"/>
      <c r="P12" s="3"/>
      <c r="Q12" s="3"/>
      <c r="R12" s="3"/>
      <c r="S12" s="3"/>
      <c r="T12" s="3"/>
      <c r="U12" s="3"/>
      <c r="V12" s="3"/>
      <c r="W12" s="3"/>
      <c r="X12" s="3" t="str">
        <f t="shared" si="11"/>
        <v/>
      </c>
      <c r="Y12" s="3"/>
      <c r="Z12" s="3" t="str">
        <f t="shared" si="12"/>
        <v/>
      </c>
      <c r="AA12" s="3">
        <f t="shared" si="0"/>
        <v>0</v>
      </c>
      <c r="AB12" s="3"/>
      <c r="AC12" s="3"/>
      <c r="AD12" s="3" t="str">
        <f t="shared" si="13"/>
        <v/>
      </c>
      <c r="AE12" s="3"/>
      <c r="AF12" s="3" t="str">
        <f t="shared" si="14"/>
        <v/>
      </c>
      <c r="AG12" s="3"/>
      <c r="AH12" s="33" t="s">
        <v>119</v>
      </c>
      <c r="AI12" s="33"/>
      <c r="AJ12" s="33">
        <v>1.0557880401611299</v>
      </c>
      <c r="AK12" s="33">
        <v>356</v>
      </c>
      <c r="AL12" s="32"/>
      <c r="AM12" s="32"/>
      <c r="AN12" s="32"/>
      <c r="AO12" s="32"/>
      <c r="AP12" s="32"/>
      <c r="AQ12" s="33" t="s">
        <v>80</v>
      </c>
      <c r="AR12" s="33"/>
      <c r="AS12" s="32" t="s">
        <v>5</v>
      </c>
      <c r="AT12" s="33" t="s">
        <v>122</v>
      </c>
      <c r="AU12" s="33"/>
      <c r="AV12" s="33" t="s">
        <v>86</v>
      </c>
      <c r="AW12" s="35" t="s">
        <v>50</v>
      </c>
      <c r="AX12" s="33" t="s">
        <v>130</v>
      </c>
      <c r="AY12" s="35" t="s">
        <v>50</v>
      </c>
      <c r="AZ12" s="35"/>
      <c r="BA12" s="34" t="str">
        <f t="shared" si="26"/>
        <v>NE</v>
      </c>
      <c r="BB12" s="35" t="s">
        <v>50</v>
      </c>
      <c r="BC12" s="29"/>
      <c r="BD12" s="34" t="str">
        <f t="shared" si="16"/>
        <v/>
      </c>
      <c r="BE12" s="32"/>
      <c r="BF12" s="32"/>
      <c r="BG12" s="32"/>
      <c r="BH12" s="33"/>
      <c r="BI12" s="33" t="str">
        <f t="shared" si="15"/>
        <v/>
      </c>
      <c r="BJ12" s="33"/>
      <c r="BK12" s="33"/>
      <c r="BL12" s="54" t="str">
        <f t="shared" si="17"/>
        <v/>
      </c>
      <c r="BM12" s="33"/>
      <c r="BN12" s="33"/>
      <c r="BO12" s="33"/>
      <c r="BP12" s="33">
        <f t="shared" si="18"/>
        <v>0</v>
      </c>
      <c r="BQ12" s="55" t="str">
        <f t="shared" si="19"/>
        <v/>
      </c>
      <c r="BR12" s="33"/>
      <c r="BS12" s="33"/>
      <c r="BT12" s="33"/>
      <c r="BU12" s="33"/>
      <c r="BV12" s="33"/>
      <c r="BW12" s="7" t="s">
        <v>50</v>
      </c>
      <c r="BX12" s="33">
        <v>3.0534351145038201</v>
      </c>
      <c r="BY12" s="170">
        <f t="shared" si="20"/>
        <v>3.1</v>
      </c>
      <c r="BZ12" s="170">
        <f t="shared" si="7"/>
        <v>0</v>
      </c>
      <c r="CA12" s="170">
        <f t="shared" si="8"/>
        <v>0.10000000000000009</v>
      </c>
      <c r="CB12" s="170" t="str">
        <f t="shared" si="9"/>
        <v/>
      </c>
      <c r="CC12" s="170" t="str">
        <f t="shared" si="10"/>
        <v>3.1</v>
      </c>
      <c r="CD12" s="27"/>
      <c r="CE12" s="109" t="s">
        <v>39</v>
      </c>
      <c r="CF12" s="95">
        <v>131</v>
      </c>
      <c r="CG12" s="171" t="s">
        <v>50</v>
      </c>
      <c r="CH12" s="4">
        <f t="shared" si="1"/>
        <v>0.230849</v>
      </c>
      <c r="CI12" s="16">
        <v>1.7566224084452901E-2</v>
      </c>
      <c r="CJ12" s="7" t="str">
        <f t="shared" si="21"/>
        <v>---</v>
      </c>
      <c r="CK12" s="3" t="s">
        <v>122</v>
      </c>
      <c r="CL12" s="7" t="s">
        <v>50</v>
      </c>
      <c r="CM12" s="97" t="s">
        <v>50</v>
      </c>
      <c r="CN12" s="147" t="s">
        <v>50</v>
      </c>
      <c r="CO12" s="145" t="str">
        <f t="shared" si="22"/>
        <v>Q100</v>
      </c>
      <c r="CP12" s="139" t="str">
        <f t="shared" si="23"/>
        <v>---</v>
      </c>
      <c r="CQ12" s="137">
        <v>0</v>
      </c>
      <c r="CR12" s="95">
        <v>0</v>
      </c>
      <c r="CS12" s="95">
        <v>0</v>
      </c>
      <c r="CT12" s="95">
        <v>0</v>
      </c>
      <c r="CU12" s="95">
        <v>11.7046207694207</v>
      </c>
      <c r="CV12" s="95">
        <v>14.156439923932901</v>
      </c>
      <c r="CW12" s="95">
        <v>4.6543969894823024E-3</v>
      </c>
      <c r="CX12" s="95">
        <v>4.6543969894823024E-3</v>
      </c>
      <c r="CY12" s="95">
        <v>5.8714699809520945E-3</v>
      </c>
      <c r="CZ12" s="95">
        <v>7.3879000634000588E-3</v>
      </c>
      <c r="DA12" s="95">
        <v>5.0693914222269973E-2</v>
      </c>
      <c r="DB12" s="96">
        <v>5.2214235825047979E-2</v>
      </c>
      <c r="DC12" s="7" t="s">
        <v>50</v>
      </c>
      <c r="DD12" s="7" t="s">
        <v>50</v>
      </c>
      <c r="DE12" s="7" t="s">
        <v>50</v>
      </c>
      <c r="DF12" s="7" t="s">
        <v>50</v>
      </c>
      <c r="DG12" s="7" t="s">
        <v>50</v>
      </c>
      <c r="DH12" s="7" t="s">
        <v>50</v>
      </c>
      <c r="DI12" s="136" t="s">
        <v>50</v>
      </c>
      <c r="DJ12" s="95">
        <v>1297.05269822949</v>
      </c>
      <c r="DK12" s="95">
        <v>1798.1535897070601</v>
      </c>
      <c r="DL12" s="95">
        <v>2942.6253974320498</v>
      </c>
      <c r="DM12" s="95">
        <v>3477.0782066296001</v>
      </c>
      <c r="DN12" s="95">
        <v>3966.2471954601301</v>
      </c>
      <c r="DO12" s="96">
        <v>5282.0421105568303</v>
      </c>
      <c r="DP12" t="b">
        <f t="shared" si="24"/>
        <v>0</v>
      </c>
      <c r="EM12" s="163" t="s">
        <v>39</v>
      </c>
      <c r="EN12" s="92" t="str">
        <f t="shared" si="25"/>
        <v>---</v>
      </c>
      <c r="EO12" s="22" t="b">
        <f t="shared" si="2"/>
        <v>0</v>
      </c>
      <c r="EP12" s="4"/>
      <c r="EQ12" s="23"/>
      <c r="ER12" s="58"/>
      <c r="ES12" s="68"/>
      <c r="ET12" s="4"/>
      <c r="EU12" s="16"/>
      <c r="EV12" s="5"/>
      <c r="EX12" s="18"/>
      <c r="EY12" s="18"/>
      <c r="EZ12" s="5"/>
      <c r="FA12" s="23"/>
      <c r="FB12" s="22"/>
      <c r="FC12" s="22"/>
      <c r="FD12" s="11"/>
      <c r="FE12" s="8">
        <v>7.3883594815183806E-2</v>
      </c>
      <c r="FF12" s="9">
        <v>7.3883594815183806E-2</v>
      </c>
      <c r="FG12" s="9">
        <v>7.5100667806661497E-2</v>
      </c>
      <c r="FH12" s="9">
        <v>7.6617097889130695E-2</v>
      </c>
      <c r="FI12" s="9">
        <v>0.119923112047971</v>
      </c>
      <c r="FJ12" s="10">
        <v>0.12144343365075699</v>
      </c>
      <c r="FK12" s="14"/>
      <c r="FL12" s="3">
        <v>230.84899999999999</v>
      </c>
      <c r="FM12" s="5"/>
      <c r="FN12" s="5" t="str">
        <f t="shared" si="3"/>
        <v>na</v>
      </c>
      <c r="FO12" s="5">
        <v>0</v>
      </c>
      <c r="FP12" s="5"/>
      <c r="FQ12" s="5"/>
      <c r="FR12" s="5" t="str">
        <f>IF(ISBLANK(FQ12),"",CONCATENATE("Q",FQ12))</f>
        <v/>
      </c>
      <c r="FS12" s="68" t="s">
        <v>39</v>
      </c>
      <c r="FT12" s="5">
        <v>100</v>
      </c>
      <c r="FU12" s="5" t="str">
        <f t="shared" si="4"/>
        <v>Q100</v>
      </c>
      <c r="FV12" s="5"/>
      <c r="FW12" s="5" t="str">
        <f t="shared" si="4"/>
        <v>---</v>
      </c>
      <c r="FX12" s="5"/>
      <c r="FY12" s="4">
        <v>0</v>
      </c>
      <c r="FZ12" s="5"/>
      <c r="GA12" s="4" t="str">
        <f t="shared" si="5"/>
        <v>na</v>
      </c>
      <c r="GC12" t="s">
        <v>39</v>
      </c>
      <c r="GD12">
        <v>1297.05269822949</v>
      </c>
      <c r="GE12">
        <v>1798.1535897070601</v>
      </c>
      <c r="GF12">
        <v>2942.6253974320498</v>
      </c>
      <c r="GG12">
        <v>3477.0782066296001</v>
      </c>
      <c r="GH12">
        <v>3966.2471954601301</v>
      </c>
      <c r="GI12">
        <v>5282.0421105568303</v>
      </c>
      <c r="GJ12" s="19"/>
      <c r="GK12" s="14"/>
      <c r="GL12" s="15">
        <v>1.7566224084452901E-2</v>
      </c>
      <c r="GP12">
        <v>1036.96548615648</v>
      </c>
      <c r="GQ12">
        <v>1384.89331366844</v>
      </c>
      <c r="GR12">
        <v>2086.3375850008701</v>
      </c>
      <c r="GS12">
        <v>2225.7582905457198</v>
      </c>
      <c r="GT12">
        <v>2100.39709287919</v>
      </c>
      <c r="GU12">
        <v>2558.55711594683</v>
      </c>
      <c r="GV12" s="14"/>
      <c r="GW12" s="14"/>
      <c r="HC12" t="str">
        <f t="shared" si="29"/>
        <v/>
      </c>
      <c r="HF12">
        <f t="shared" si="30"/>
        <v>0</v>
      </c>
      <c r="HG12" t="str">
        <f t="shared" si="31"/>
        <v/>
      </c>
      <c r="HH12" t="str">
        <f t="shared" si="6"/>
        <v/>
      </c>
    </row>
    <row r="13" spans="1:219" x14ac:dyDescent="0.3">
      <c r="A13" s="128" t="s">
        <v>124</v>
      </c>
      <c r="B13" s="3">
        <v>114.545</v>
      </c>
      <c r="C13" s="3"/>
      <c r="D13" s="3"/>
      <c r="E13" s="3"/>
      <c r="F13" s="3"/>
      <c r="G13" s="3"/>
      <c r="H13" s="3"/>
      <c r="I13" s="3"/>
      <c r="J13" s="3"/>
      <c r="K13" s="3"/>
      <c r="L13" s="3"/>
      <c r="M13" s="3">
        <v>0</v>
      </c>
      <c r="N13" s="3">
        <v>0</v>
      </c>
      <c r="O13" s="3">
        <v>0</v>
      </c>
      <c r="P13" s="3">
        <v>0</v>
      </c>
      <c r="Q13" s="3">
        <v>0</v>
      </c>
      <c r="R13" s="3">
        <v>0</v>
      </c>
      <c r="S13" s="3"/>
      <c r="T13" s="3"/>
      <c r="U13" s="3" t="s">
        <v>85</v>
      </c>
      <c r="V13" s="3" t="s">
        <v>161</v>
      </c>
      <c r="W13" s="3">
        <v>0</v>
      </c>
      <c r="X13" s="3">
        <f t="shared" si="11"/>
        <v>0</v>
      </c>
      <c r="Y13" s="3">
        <v>178.66329999999999</v>
      </c>
      <c r="Z13" s="3">
        <f t="shared" si="12"/>
        <v>0.11972056209598035</v>
      </c>
      <c r="AA13" s="3">
        <f t="shared" si="0"/>
        <v>0.11972056209598035</v>
      </c>
      <c r="AB13" s="3">
        <v>6.23</v>
      </c>
      <c r="AC13" s="3">
        <v>1465.8150000000001</v>
      </c>
      <c r="AD13" s="3">
        <f t="shared" si="13"/>
        <v>0.9822285591317268</v>
      </c>
      <c r="AE13" s="3">
        <v>0</v>
      </c>
      <c r="AF13" s="3">
        <f t="shared" si="14"/>
        <v>0</v>
      </c>
      <c r="AG13" s="3">
        <v>1492</v>
      </c>
      <c r="AH13" s="3" t="s">
        <v>123</v>
      </c>
      <c r="AI13" s="3"/>
      <c r="AJ13" s="3">
        <v>1</v>
      </c>
      <c r="AK13" s="3">
        <v>868</v>
      </c>
      <c r="AL13" s="5">
        <v>22</v>
      </c>
      <c r="AM13" s="5" t="s">
        <v>85</v>
      </c>
      <c r="AN13" s="5" t="s">
        <v>86</v>
      </c>
      <c r="AO13" s="5">
        <v>16</v>
      </c>
      <c r="AP13" s="5">
        <v>0.65</v>
      </c>
      <c r="AQ13" s="3" t="s">
        <v>89</v>
      </c>
      <c r="AR13" s="3" t="s">
        <v>125</v>
      </c>
      <c r="AS13" s="5" t="s">
        <v>1</v>
      </c>
      <c r="AT13" s="3" t="s">
        <v>120</v>
      </c>
      <c r="AU13" s="3" t="s">
        <v>81</v>
      </c>
      <c r="AV13" s="3"/>
      <c r="AW13" s="23" t="s">
        <v>80</v>
      </c>
      <c r="AX13" s="3" t="s">
        <v>129</v>
      </c>
      <c r="AY13" s="23">
        <v>1.9400000572204601</v>
      </c>
      <c r="AZ13" s="23"/>
      <c r="BA13" s="58" t="str">
        <f t="shared" si="26"/>
        <v>ME</v>
      </c>
      <c r="BB13" s="23">
        <v>1.1473296880721999</v>
      </c>
      <c r="BC13" s="4">
        <f t="shared" si="27"/>
        <v>1.1000000000000001</v>
      </c>
      <c r="BD13" s="23" t="b">
        <f t="shared" si="16"/>
        <v>0</v>
      </c>
      <c r="BE13" s="5" t="s">
        <v>82</v>
      </c>
      <c r="BF13" s="5" t="s">
        <v>82</v>
      </c>
      <c r="BG13" s="5">
        <v>382</v>
      </c>
      <c r="BH13" s="3">
        <v>1319.5550000000001</v>
      </c>
      <c r="BI13" s="3">
        <f t="shared" si="15"/>
        <v>0.88422113728203477</v>
      </c>
      <c r="BJ13" s="3">
        <v>0</v>
      </c>
      <c r="BK13" s="3">
        <f>IF(ISBLANK(BJ13),"",BJ13/($CH13*3.2808399*1000))</f>
        <v>0</v>
      </c>
      <c r="BL13" s="56">
        <f t="shared" si="17"/>
        <v>0.88422113728203477</v>
      </c>
      <c r="BM13" s="3" t="s">
        <v>160</v>
      </c>
      <c r="BN13" s="3">
        <v>5</v>
      </c>
      <c r="BO13" s="3">
        <v>124.01552580000001</v>
      </c>
      <c r="BP13" s="3">
        <f t="shared" si="18"/>
        <v>124.01552580000001</v>
      </c>
      <c r="BQ13" s="57">
        <f t="shared" si="19"/>
        <v>4.1550806621742001E-2</v>
      </c>
      <c r="BR13" s="3">
        <v>81.275090000000006</v>
      </c>
      <c r="BS13" s="3">
        <v>42.740430000000003</v>
      </c>
      <c r="BT13" s="3">
        <v>5</v>
      </c>
      <c r="BU13" s="3">
        <v>5</v>
      </c>
      <c r="BV13" s="3" t="s">
        <v>92</v>
      </c>
      <c r="BW13" s="23" t="s">
        <v>80</v>
      </c>
      <c r="BX13" s="3">
        <v>7.5778078484438396</v>
      </c>
      <c r="BY13" s="170">
        <f t="shared" si="20"/>
        <v>7.6</v>
      </c>
      <c r="BZ13" s="170">
        <f t="shared" si="7"/>
        <v>0</v>
      </c>
      <c r="CA13" s="170">
        <f t="shared" si="8"/>
        <v>0.59999999999999964</v>
      </c>
      <c r="CB13" s="170" t="str">
        <f t="shared" si="9"/>
        <v/>
      </c>
      <c r="CC13" s="170" t="str">
        <f t="shared" si="10"/>
        <v>7.6</v>
      </c>
      <c r="CD13" s="27"/>
      <c r="CE13" s="109" t="s">
        <v>21</v>
      </c>
      <c r="CF13" s="95">
        <v>127</v>
      </c>
      <c r="CG13" s="95">
        <v>155.17773655213301</v>
      </c>
      <c r="CH13" s="4">
        <f t="shared" si="1"/>
        <v>0.45486399999999999</v>
      </c>
      <c r="CI13" s="16">
        <v>3.5801112972605998E-3</v>
      </c>
      <c r="CJ13" s="7" t="str">
        <f t="shared" si="21"/>
        <v>SC (7.6)</v>
      </c>
      <c r="CK13" s="3" t="s">
        <v>129</v>
      </c>
      <c r="CL13" s="23">
        <v>2.6</v>
      </c>
      <c r="CM13" s="4">
        <v>2.6</v>
      </c>
      <c r="CN13" s="148">
        <v>0.88422113728203477</v>
      </c>
      <c r="CO13" s="145" t="str">
        <f t="shared" si="22"/>
        <v>Q5</v>
      </c>
      <c r="CP13" s="139" t="str">
        <f t="shared" si="23"/>
        <v>Q100</v>
      </c>
      <c r="CQ13" s="137">
        <v>0</v>
      </c>
      <c r="CR13" s="95">
        <v>5.4367898976397298</v>
      </c>
      <c r="CS13" s="95">
        <v>20.779837489887001</v>
      </c>
      <c r="CT13" s="95">
        <v>41.825688557458903</v>
      </c>
      <c r="CU13" s="95">
        <v>85.056192620211704</v>
      </c>
      <c r="CV13" s="95">
        <v>85.056192620211704</v>
      </c>
      <c r="CW13" s="95">
        <v>9.1370719548178131E-2</v>
      </c>
      <c r="CX13" s="95">
        <v>0.24557034367769268</v>
      </c>
      <c r="CY13" s="95">
        <v>2.0212597922798419</v>
      </c>
      <c r="CZ13" s="95">
        <v>4.4569494141163295</v>
      </c>
      <c r="DA13" s="95">
        <v>8.3328076089915672</v>
      </c>
      <c r="DB13" s="96">
        <v>8.674584922363147</v>
      </c>
      <c r="DC13" s="3">
        <v>272.47096391357297</v>
      </c>
      <c r="DD13" s="3">
        <v>421.37832523288898</v>
      </c>
      <c r="DE13" s="3">
        <v>651.662677430141</v>
      </c>
      <c r="DF13" s="3">
        <v>272.47096391357297</v>
      </c>
      <c r="DG13" s="3">
        <v>421.37832523288898</v>
      </c>
      <c r="DH13" s="3">
        <v>651.662677430141</v>
      </c>
      <c r="DI13" s="92" t="str">
        <f>IF(FN13="Q1000","&gt;Q500",FN13)</f>
        <v>Q25</v>
      </c>
      <c r="DJ13" s="95">
        <v>162.542861849644</v>
      </c>
      <c r="DK13" s="95">
        <v>228.075557710656</v>
      </c>
      <c r="DL13" s="95">
        <v>338.93937588352497</v>
      </c>
      <c r="DM13" s="95">
        <v>383.71481718091201</v>
      </c>
      <c r="DN13" s="95">
        <v>423.71010695303499</v>
      </c>
      <c r="DO13" s="96">
        <v>533.88448389644702</v>
      </c>
      <c r="DP13" t="b">
        <f t="shared" si="24"/>
        <v>1</v>
      </c>
      <c r="DQ13" t="s">
        <v>21</v>
      </c>
      <c r="DR13">
        <v>155.17773655213301</v>
      </c>
      <c r="EM13" s="163" t="s">
        <v>21</v>
      </c>
      <c r="EN13" s="92" t="str">
        <f t="shared" si="25"/>
        <v>Q5</v>
      </c>
      <c r="EO13" s="22" t="b">
        <f t="shared" si="2"/>
        <v>1</v>
      </c>
      <c r="EP13" s="29">
        <v>2.6</v>
      </c>
      <c r="EQ13" s="34">
        <v>2.6</v>
      </c>
      <c r="ER13" s="58" t="str">
        <f t="shared" si="28"/>
        <v>NE</v>
      </c>
      <c r="ES13" s="68" t="s">
        <v>21</v>
      </c>
      <c r="ET13" s="4">
        <v>0.45486399999999999</v>
      </c>
      <c r="EU13" s="16">
        <v>3.5801112972605998E-3</v>
      </c>
      <c r="EV13" s="5" t="s">
        <v>32</v>
      </c>
      <c r="EW13" s="74" t="s">
        <v>31</v>
      </c>
      <c r="EX13" s="77" t="s">
        <v>86</v>
      </c>
      <c r="EY13" s="77" t="s">
        <v>86</v>
      </c>
      <c r="EZ13" s="78" t="s">
        <v>1</v>
      </c>
      <c r="FA13" s="58" t="s">
        <v>80</v>
      </c>
      <c r="FB13" s="22"/>
      <c r="FC13" s="22"/>
      <c r="FD13" s="11"/>
      <c r="FE13" s="8">
        <v>0.224427256856607</v>
      </c>
      <c r="FF13" s="9">
        <v>0.37862688098619202</v>
      </c>
      <c r="FG13" s="9">
        <v>2.1543163295883998</v>
      </c>
      <c r="FH13" s="9">
        <v>4.5900059514248399</v>
      </c>
      <c r="FI13" s="9">
        <v>8.46586414629998</v>
      </c>
      <c r="FJ13" s="10">
        <v>8.8076414596716806</v>
      </c>
      <c r="FK13" s="14"/>
      <c r="FL13" s="3">
        <v>454.86399999999998</v>
      </c>
      <c r="FM13" s="5">
        <v>25</v>
      </c>
      <c r="FN13" s="5" t="str">
        <f t="shared" si="3"/>
        <v>Q25</v>
      </c>
      <c r="FO13" s="5">
        <v>56383</v>
      </c>
      <c r="FP13" s="5">
        <v>13194</v>
      </c>
      <c r="FQ13" s="5">
        <v>5</v>
      </c>
      <c r="FR13" s="5" t="str">
        <f>IF(ISBLANK(FQ13),"na",CONCATENATE("Q",FQ13))</f>
        <v>Q5</v>
      </c>
      <c r="FS13" s="68" t="s">
        <v>21</v>
      </c>
      <c r="FT13" s="5">
        <v>5</v>
      </c>
      <c r="FU13" s="5" t="str">
        <f t="shared" si="4"/>
        <v>Q5</v>
      </c>
      <c r="FV13" s="5">
        <v>100</v>
      </c>
      <c r="FW13" s="5" t="str">
        <f t="shared" si="4"/>
        <v>Q100</v>
      </c>
      <c r="FX13" s="5">
        <v>0.2</v>
      </c>
      <c r="FY13" s="4">
        <v>123.955731823138</v>
      </c>
      <c r="FZ13" s="5">
        <v>29.0064722642372</v>
      </c>
      <c r="GA13" s="4">
        <f t="shared" si="5"/>
        <v>29.0064722642372</v>
      </c>
      <c r="GC13" t="s">
        <v>21</v>
      </c>
      <c r="GD13">
        <v>162.542861849644</v>
      </c>
      <c r="GE13">
        <v>228.075557710656</v>
      </c>
      <c r="GF13">
        <v>338.93937588352497</v>
      </c>
      <c r="GG13">
        <v>383.71481718091201</v>
      </c>
      <c r="GH13">
        <v>423.71010695303499</v>
      </c>
      <c r="GI13">
        <v>533.88448389644702</v>
      </c>
      <c r="GJ13" s="19"/>
      <c r="GK13" s="14"/>
      <c r="GL13" s="15">
        <v>3.5801112972605998E-3</v>
      </c>
      <c r="GM13">
        <v>272.47096391357297</v>
      </c>
      <c r="GN13">
        <v>421.37832523288898</v>
      </c>
      <c r="GO13">
        <v>651.662677430141</v>
      </c>
      <c r="GP13">
        <v>114.98467105478601</v>
      </c>
      <c r="GQ13">
        <v>127.19963675912901</v>
      </c>
      <c r="GR13">
        <v>145.229656752995</v>
      </c>
      <c r="GS13">
        <v>146.32582212160801</v>
      </c>
      <c r="GT13">
        <v>131.640830928735</v>
      </c>
      <c r="GU13">
        <v>160.3310917821</v>
      </c>
      <c r="GV13" s="14"/>
      <c r="GW13" s="14"/>
      <c r="HB13">
        <v>1</v>
      </c>
      <c r="HC13">
        <f t="shared" si="29"/>
        <v>1</v>
      </c>
      <c r="HD13">
        <v>1</v>
      </c>
      <c r="HE13">
        <v>1</v>
      </c>
      <c r="HF13">
        <f t="shared" si="30"/>
        <v>2</v>
      </c>
      <c r="HG13" t="str">
        <f t="shared" si="31"/>
        <v/>
      </c>
      <c r="HH13" t="str">
        <f t="shared" si="6"/>
        <v>Entrenched</v>
      </c>
    </row>
    <row r="14" spans="1:219" x14ac:dyDescent="0.3">
      <c r="A14" s="129" t="s">
        <v>85</v>
      </c>
      <c r="B14" s="33">
        <v>114.37</v>
      </c>
      <c r="C14" s="33"/>
      <c r="D14" s="33"/>
      <c r="E14" s="33"/>
      <c r="F14" s="33"/>
      <c r="G14" s="33"/>
      <c r="H14" s="33"/>
      <c r="I14" s="33"/>
      <c r="J14" s="33"/>
      <c r="K14" s="33"/>
      <c r="L14" s="33"/>
      <c r="M14" s="33">
        <v>0</v>
      </c>
      <c r="N14" s="33">
        <v>0</v>
      </c>
      <c r="O14" s="33">
        <v>0</v>
      </c>
      <c r="P14" s="33">
        <v>0</v>
      </c>
      <c r="Q14" s="33">
        <v>0</v>
      </c>
      <c r="R14" s="33">
        <v>0</v>
      </c>
      <c r="S14" s="33"/>
      <c r="T14" s="33"/>
      <c r="U14" s="33" t="s">
        <v>161</v>
      </c>
      <c r="V14" s="33" t="s">
        <v>161</v>
      </c>
      <c r="W14" s="33">
        <v>38.307270000000003</v>
      </c>
      <c r="X14" s="33">
        <f t="shared" si="11"/>
        <v>2.8153866263150092E-2</v>
      </c>
      <c r="Y14" s="33">
        <v>114.86409999999999</v>
      </c>
      <c r="Z14" s="33">
        <f t="shared" si="12"/>
        <v>8.4419184918087295E-2</v>
      </c>
      <c r="AA14" s="3">
        <f t="shared" si="0"/>
        <v>0.11257305118123739</v>
      </c>
      <c r="AB14" s="33"/>
      <c r="AC14" s="33">
        <v>236.42089999999999</v>
      </c>
      <c r="AD14" s="33">
        <f t="shared" si="13"/>
        <v>0.17375715889995763</v>
      </c>
      <c r="AE14" s="33">
        <v>0</v>
      </c>
      <c r="AF14" s="33">
        <f t="shared" si="14"/>
        <v>0</v>
      </c>
      <c r="AG14" s="33">
        <v>1355</v>
      </c>
      <c r="AH14" s="33" t="s">
        <v>123</v>
      </c>
      <c r="AI14" s="33"/>
      <c r="AJ14" s="33">
        <v>1.2275916337966899</v>
      </c>
      <c r="AK14" s="33">
        <v>638</v>
      </c>
      <c r="AL14" s="32">
        <v>18</v>
      </c>
      <c r="AM14" s="32"/>
      <c r="AN14" s="32"/>
      <c r="AO14" s="32"/>
      <c r="AP14" s="32">
        <v>0</v>
      </c>
      <c r="AQ14" s="33" t="s">
        <v>88</v>
      </c>
      <c r="AR14" s="33" t="s">
        <v>85</v>
      </c>
      <c r="AS14" s="32" t="s">
        <v>5</v>
      </c>
      <c r="AT14" s="33" t="s">
        <v>120</v>
      </c>
      <c r="AU14" s="33" t="s">
        <v>86</v>
      </c>
      <c r="AV14" s="33" t="s">
        <v>86</v>
      </c>
      <c r="AW14" s="34" t="s">
        <v>93</v>
      </c>
      <c r="AX14" s="33" t="s">
        <v>127</v>
      </c>
      <c r="AY14" s="35" t="s">
        <v>50</v>
      </c>
      <c r="AZ14" s="35"/>
      <c r="BA14" s="34" t="str">
        <f t="shared" si="26"/>
        <v>NE</v>
      </c>
      <c r="BB14" s="35" t="s">
        <v>50</v>
      </c>
      <c r="BC14" s="29"/>
      <c r="BD14" s="34" t="str">
        <f t="shared" si="16"/>
        <v/>
      </c>
      <c r="BE14" s="32" t="s">
        <v>82</v>
      </c>
      <c r="BF14" s="32" t="s">
        <v>82</v>
      </c>
      <c r="BG14" s="32">
        <v>149</v>
      </c>
      <c r="BH14" s="33">
        <v>1282.6189999999999</v>
      </c>
      <c r="BI14" s="33">
        <f t="shared" si="15"/>
        <v>0.9426587640564128</v>
      </c>
      <c r="BJ14" s="33">
        <v>0</v>
      </c>
      <c r="BK14" s="33">
        <f>IF(ISBLANK(BJ14),"",BJ14/($CH14*3.2808399*1000))</f>
        <v>0</v>
      </c>
      <c r="BL14" s="54">
        <f t="shared" si="17"/>
        <v>0.9426587640564128</v>
      </c>
      <c r="BM14" s="33" t="s">
        <v>163</v>
      </c>
      <c r="BN14" s="33">
        <v>5.907</v>
      </c>
      <c r="BO14" s="33">
        <v>1121.6010742000001</v>
      </c>
      <c r="BP14" s="33">
        <f t="shared" si="18"/>
        <v>1121.6010742000001</v>
      </c>
      <c r="BQ14" s="55">
        <f t="shared" si="19"/>
        <v>0.41215944967668383</v>
      </c>
      <c r="BR14" s="33">
        <v>0</v>
      </c>
      <c r="BS14" s="33">
        <v>0</v>
      </c>
      <c r="BT14" s="33">
        <v>0</v>
      </c>
      <c r="BU14" s="33">
        <v>0</v>
      </c>
      <c r="BV14" s="33"/>
      <c r="BW14" s="23" t="s">
        <v>93</v>
      </c>
      <c r="BX14" s="33">
        <v>5.5783859403689799</v>
      </c>
      <c r="BY14" s="170">
        <f t="shared" si="20"/>
        <v>5.6</v>
      </c>
      <c r="BZ14" s="170">
        <f t="shared" si="7"/>
        <v>0</v>
      </c>
      <c r="CA14" s="170">
        <f t="shared" si="8"/>
        <v>0.59999999999999964</v>
      </c>
      <c r="CB14" s="170" t="str">
        <f t="shared" si="9"/>
        <v/>
      </c>
      <c r="CC14" s="170" t="str">
        <f t="shared" si="10"/>
        <v>5.6</v>
      </c>
      <c r="CD14" s="27"/>
      <c r="CE14" s="109" t="s">
        <v>40</v>
      </c>
      <c r="CF14" s="95">
        <v>126</v>
      </c>
      <c r="CG14" s="171" t="s">
        <v>50</v>
      </c>
      <c r="CH14" s="4">
        <f t="shared" si="1"/>
        <v>0.41472300000000001</v>
      </c>
      <c r="CI14" s="16">
        <v>1.32066748562444E-2</v>
      </c>
      <c r="CJ14" s="7" t="str">
        <f t="shared" si="21"/>
        <v>NC (5.6)</v>
      </c>
      <c r="CK14" s="3" t="s">
        <v>122</v>
      </c>
      <c r="CL14" s="7" t="s">
        <v>50</v>
      </c>
      <c r="CM14" s="97" t="s">
        <v>50</v>
      </c>
      <c r="CN14" s="148">
        <v>0.9426587640564128</v>
      </c>
      <c r="CO14" s="145" t="str">
        <f t="shared" si="22"/>
        <v>---</v>
      </c>
      <c r="CP14" s="139" t="str">
        <f t="shared" si="23"/>
        <v>---</v>
      </c>
      <c r="CQ14" s="137">
        <v>0</v>
      </c>
      <c r="CR14" s="95">
        <v>0</v>
      </c>
      <c r="CS14" s="95">
        <v>0</v>
      </c>
      <c r="CT14" s="95">
        <v>0</v>
      </c>
      <c r="CU14" s="95">
        <v>0</v>
      </c>
      <c r="CV14" s="95">
        <v>0</v>
      </c>
      <c r="CW14" s="95">
        <v>1.2755375298128195E-2</v>
      </c>
      <c r="CX14" s="95">
        <v>1.2755375298128195E-2</v>
      </c>
      <c r="CY14" s="95">
        <v>1.2755375298128195E-2</v>
      </c>
      <c r="CZ14" s="95">
        <v>1.2755375298128195E-2</v>
      </c>
      <c r="DA14" s="95">
        <v>1.2755375298128195E-2</v>
      </c>
      <c r="DB14" s="96">
        <v>1.2755375298128195E-2</v>
      </c>
      <c r="DC14" s="7" t="s">
        <v>50</v>
      </c>
      <c r="DD14" s="7" t="s">
        <v>50</v>
      </c>
      <c r="DE14" s="7" t="s">
        <v>50</v>
      </c>
      <c r="DF14" s="7" t="s">
        <v>50</v>
      </c>
      <c r="DG14" s="7" t="s">
        <v>50</v>
      </c>
      <c r="DH14" s="7" t="s">
        <v>50</v>
      </c>
      <c r="DI14" s="136" t="s">
        <v>50</v>
      </c>
      <c r="DJ14" s="95">
        <v>743.112195824786</v>
      </c>
      <c r="DK14" s="95">
        <v>1122.1144537897101</v>
      </c>
      <c r="DL14" s="95">
        <v>1695.86790550979</v>
      </c>
      <c r="DM14" s="95">
        <v>2014.6974494338201</v>
      </c>
      <c r="DN14" s="95">
        <v>2347.4856510128402</v>
      </c>
      <c r="DO14" s="96">
        <v>3256.91888527423</v>
      </c>
      <c r="DP14" t="b">
        <f t="shared" si="24"/>
        <v>0</v>
      </c>
      <c r="EM14" s="163" t="s">
        <v>40</v>
      </c>
      <c r="EN14" s="92" t="str">
        <f t="shared" si="25"/>
        <v>---</v>
      </c>
      <c r="EO14" s="22" t="b">
        <f t="shared" si="2"/>
        <v>0</v>
      </c>
      <c r="EP14" s="29"/>
      <c r="EQ14" s="34"/>
      <c r="ER14" s="58"/>
      <c r="ES14" s="68"/>
      <c r="ET14" s="4"/>
      <c r="EU14" s="16"/>
      <c r="EV14" s="5"/>
      <c r="EW14" s="74"/>
      <c r="EX14" s="77"/>
      <c r="EY14" s="77"/>
      <c r="EZ14" s="78"/>
      <c r="FA14" s="58"/>
      <c r="FB14" s="22"/>
      <c r="FC14" s="22"/>
      <c r="FD14" s="11"/>
      <c r="FE14" s="8">
        <v>0.19818036778020201</v>
      </c>
      <c r="FF14" s="9">
        <v>0.198180367780185</v>
      </c>
      <c r="FG14" s="9">
        <v>0.19818036778016701</v>
      </c>
      <c r="FH14" s="9">
        <v>0.19818036778020201</v>
      </c>
      <c r="FI14" s="9">
        <v>0.198180367780185</v>
      </c>
      <c r="FJ14" s="10">
        <v>0.198180367780185</v>
      </c>
      <c r="FK14" s="14"/>
      <c r="FL14" s="3">
        <v>414.72300000000001</v>
      </c>
      <c r="FM14" s="5"/>
      <c r="FN14" s="5" t="str">
        <f t="shared" si="3"/>
        <v>na</v>
      </c>
      <c r="FO14" s="5">
        <v>0</v>
      </c>
      <c r="FP14" s="5"/>
      <c r="FQ14" s="5"/>
      <c r="FR14" s="5"/>
      <c r="FS14" s="68" t="s">
        <v>40</v>
      </c>
      <c r="FT14" s="5"/>
      <c r="FU14" s="5" t="str">
        <f t="shared" si="4"/>
        <v>---</v>
      </c>
      <c r="FV14" s="5"/>
      <c r="FW14" s="5" t="str">
        <f t="shared" si="4"/>
        <v>---</v>
      </c>
      <c r="FX14" s="5"/>
      <c r="FY14" s="4">
        <v>0</v>
      </c>
      <c r="FZ14" s="5"/>
      <c r="GA14" s="4" t="str">
        <f t="shared" si="5"/>
        <v>na</v>
      </c>
      <c r="GC14" t="s">
        <v>40</v>
      </c>
      <c r="GD14">
        <v>743.112195824786</v>
      </c>
      <c r="GE14">
        <v>1122.1144537897101</v>
      </c>
      <c r="GF14">
        <v>1695.86790550979</v>
      </c>
      <c r="GG14">
        <v>2014.6974494338201</v>
      </c>
      <c r="GH14">
        <v>2347.4856510128402</v>
      </c>
      <c r="GI14">
        <v>3256.91888527423</v>
      </c>
      <c r="GJ14" s="19"/>
      <c r="GK14" s="14"/>
      <c r="GL14" s="15">
        <v>1.32066748562444E-2</v>
      </c>
      <c r="GP14">
        <v>597.69263916258603</v>
      </c>
      <c r="GQ14">
        <v>864.39003097026102</v>
      </c>
      <c r="GR14">
        <v>1242.8918018474301</v>
      </c>
      <c r="GS14">
        <v>1444.54868342334</v>
      </c>
      <c r="GT14">
        <v>1648.4703510225299</v>
      </c>
      <c r="GU14">
        <v>2174.0915527689499</v>
      </c>
      <c r="GV14" s="14"/>
      <c r="GW14" s="14"/>
      <c r="HC14" t="str">
        <f t="shared" si="29"/>
        <v/>
      </c>
      <c r="HF14">
        <f t="shared" si="30"/>
        <v>0</v>
      </c>
      <c r="HG14" t="str">
        <f t="shared" si="31"/>
        <v/>
      </c>
      <c r="HH14" t="str">
        <f t="shared" si="6"/>
        <v/>
      </c>
    </row>
    <row r="15" spans="1:219" x14ac:dyDescent="0.3">
      <c r="A15" s="128" t="s">
        <v>85</v>
      </c>
      <c r="B15" s="3">
        <v>114.37</v>
      </c>
      <c r="C15" s="3"/>
      <c r="D15" s="3"/>
      <c r="E15" s="3"/>
      <c r="F15" s="3"/>
      <c r="G15" s="3"/>
      <c r="H15" s="3"/>
      <c r="I15" s="3"/>
      <c r="J15" s="3"/>
      <c r="K15" s="3"/>
      <c r="L15" s="3"/>
      <c r="M15" s="3">
        <v>0</v>
      </c>
      <c r="N15" s="3">
        <v>0</v>
      </c>
      <c r="O15" s="3">
        <v>0</v>
      </c>
      <c r="P15" s="3">
        <v>0</v>
      </c>
      <c r="Q15" s="3">
        <v>0</v>
      </c>
      <c r="R15" s="3">
        <v>0</v>
      </c>
      <c r="S15" s="3"/>
      <c r="T15" s="3"/>
      <c r="U15" s="3" t="s">
        <v>161</v>
      </c>
      <c r="V15" s="3" t="s">
        <v>85</v>
      </c>
      <c r="W15" s="3">
        <v>405.39010000000002</v>
      </c>
      <c r="X15" s="3">
        <f t="shared" si="11"/>
        <v>0.22652349290468743</v>
      </c>
      <c r="Y15" s="3">
        <v>0</v>
      </c>
      <c r="Z15" s="3">
        <f t="shared" si="12"/>
        <v>0</v>
      </c>
      <c r="AA15" s="3">
        <f t="shared" si="0"/>
        <v>0.22652349290468743</v>
      </c>
      <c r="AB15" s="3">
        <v>9.89</v>
      </c>
      <c r="AC15" s="3">
        <v>369.10730000000001</v>
      </c>
      <c r="AD15" s="3">
        <f t="shared" si="13"/>
        <v>0.20624942457306761</v>
      </c>
      <c r="AE15" s="3">
        <v>0</v>
      </c>
      <c r="AF15" s="3">
        <f t="shared" si="14"/>
        <v>0</v>
      </c>
      <c r="AG15" s="3">
        <v>1795</v>
      </c>
      <c r="AH15" s="3" t="s">
        <v>123</v>
      </c>
      <c r="AI15" s="3"/>
      <c r="AJ15" s="3">
        <v>1.2275916337966899</v>
      </c>
      <c r="AK15" s="3">
        <v>638</v>
      </c>
      <c r="AL15" s="5">
        <v>18</v>
      </c>
      <c r="AM15" s="5" t="s">
        <v>95</v>
      </c>
      <c r="AN15" s="5" t="s">
        <v>86</v>
      </c>
      <c r="AO15" s="5">
        <v>7</v>
      </c>
      <c r="AP15" s="5">
        <v>0.42499999999999999</v>
      </c>
      <c r="AQ15" s="3" t="s">
        <v>88</v>
      </c>
      <c r="AR15" s="3" t="s">
        <v>85</v>
      </c>
      <c r="AS15" s="5" t="s">
        <v>3</v>
      </c>
      <c r="AT15" s="3" t="s">
        <v>120</v>
      </c>
      <c r="AU15" s="3" t="s">
        <v>81</v>
      </c>
      <c r="AV15" s="3"/>
      <c r="AW15" s="23" t="s">
        <v>89</v>
      </c>
      <c r="AX15" s="3" t="s">
        <v>127</v>
      </c>
      <c r="AY15" s="23">
        <v>1.27729976177216</v>
      </c>
      <c r="AZ15" s="23"/>
      <c r="BA15" s="59" t="str">
        <f t="shared" si="26"/>
        <v>HE</v>
      </c>
      <c r="BB15" s="23">
        <v>1.84514927864075</v>
      </c>
      <c r="BC15" s="4">
        <f t="shared" si="27"/>
        <v>1.8</v>
      </c>
      <c r="BD15" s="23" t="b">
        <f t="shared" si="16"/>
        <v>1</v>
      </c>
      <c r="BE15" s="5" t="s">
        <v>82</v>
      </c>
      <c r="BF15" s="5" t="s">
        <v>82</v>
      </c>
      <c r="BG15" s="5">
        <v>906</v>
      </c>
      <c r="BH15" s="3">
        <v>813.18110000000001</v>
      </c>
      <c r="BI15" s="3">
        <f t="shared" si="15"/>
        <v>0.45438855841836273</v>
      </c>
      <c r="BJ15" s="3">
        <v>0</v>
      </c>
      <c r="BK15" s="3">
        <f>IF(ISBLANK(BJ15),"",BJ15/($CH15*3.2808399*1000))</f>
        <v>0</v>
      </c>
      <c r="BL15" s="56">
        <f t="shared" si="17"/>
        <v>0.45438855841836273</v>
      </c>
      <c r="BM15" s="3" t="s">
        <v>83</v>
      </c>
      <c r="BN15" s="3">
        <v>5.907</v>
      </c>
      <c r="BO15" s="3">
        <v>1121.6010742000001</v>
      </c>
      <c r="BP15" s="3">
        <f t="shared" si="18"/>
        <v>1121.6010742000001</v>
      </c>
      <c r="BQ15" s="57">
        <f t="shared" si="19"/>
        <v>0.31336358852057994</v>
      </c>
      <c r="BR15" s="3">
        <v>689.05110000000002</v>
      </c>
      <c r="BS15" s="3">
        <v>432.54989999999998</v>
      </c>
      <c r="BT15" s="3">
        <v>5.9937389999999997</v>
      </c>
      <c r="BU15" s="3">
        <v>5.7694559999999999</v>
      </c>
      <c r="BV15" s="3" t="s">
        <v>94</v>
      </c>
      <c r="BW15" s="23" t="s">
        <v>89</v>
      </c>
      <c r="BX15" s="3">
        <v>5.5783859403689799</v>
      </c>
      <c r="BY15" s="170">
        <f t="shared" si="20"/>
        <v>5.6</v>
      </c>
      <c r="BZ15" s="170">
        <f t="shared" si="7"/>
        <v>0</v>
      </c>
      <c r="CA15" s="170">
        <f t="shared" si="8"/>
        <v>0.59999999999999964</v>
      </c>
      <c r="CB15" s="170" t="str">
        <f t="shared" si="9"/>
        <v/>
      </c>
      <c r="CC15" s="170" t="str">
        <f t="shared" si="10"/>
        <v>5.6</v>
      </c>
      <c r="CD15" s="27"/>
      <c r="CE15" s="109" t="s">
        <v>22</v>
      </c>
      <c r="CF15" s="95">
        <v>126</v>
      </c>
      <c r="CG15" s="95">
        <v>161.269894386543</v>
      </c>
      <c r="CH15" s="4">
        <f t="shared" si="1"/>
        <v>0.54547500000000004</v>
      </c>
      <c r="CI15" s="16">
        <v>5.0026505353704996E-3</v>
      </c>
      <c r="CJ15" s="7" t="str">
        <f t="shared" si="21"/>
        <v>BD (5.6)</v>
      </c>
      <c r="CK15" s="3" t="s">
        <v>129</v>
      </c>
      <c r="CL15" s="23">
        <v>1.27729976177216</v>
      </c>
      <c r="CM15" s="4">
        <v>1.8</v>
      </c>
      <c r="CN15" s="148">
        <v>0.45438855841836273</v>
      </c>
      <c r="CO15" s="145" t="str">
        <f t="shared" si="22"/>
        <v>---</v>
      </c>
      <c r="CP15" s="139" t="str">
        <f t="shared" si="23"/>
        <v>&gt;Q500</v>
      </c>
      <c r="CQ15" s="137">
        <v>0</v>
      </c>
      <c r="CR15" s="95">
        <v>0</v>
      </c>
      <c r="CS15" s="95">
        <v>0</v>
      </c>
      <c r="CT15" s="95">
        <v>0</v>
      </c>
      <c r="CU15" s="95">
        <v>0</v>
      </c>
      <c r="CV15" s="95">
        <v>0</v>
      </c>
      <c r="CW15" s="95">
        <v>0.12554131425570556</v>
      </c>
      <c r="CX15" s="95">
        <v>0.15084259047889159</v>
      </c>
      <c r="CY15" s="95">
        <v>2.2878221046870344</v>
      </c>
      <c r="CZ15" s="95">
        <v>5.9208053751392633</v>
      </c>
      <c r="DA15" s="95">
        <v>11.215959271751299</v>
      </c>
      <c r="DB15" s="96">
        <v>31.113623241905493</v>
      </c>
      <c r="DC15" s="3">
        <v>318.67200792401798</v>
      </c>
      <c r="DD15" s="3">
        <v>505.06818116131598</v>
      </c>
      <c r="DE15" s="3">
        <v>746.96592697099902</v>
      </c>
      <c r="DF15" s="3">
        <v>318.67200792401798</v>
      </c>
      <c r="DG15" s="3">
        <v>505.06818116131598</v>
      </c>
      <c r="DH15" s="3">
        <v>746.96592697099902</v>
      </c>
      <c r="DI15" s="92" t="str">
        <f>IF(FN15="Q1000","&gt;Q500",FN15)</f>
        <v>Q25</v>
      </c>
      <c r="DJ15" s="95">
        <v>182.48945071845199</v>
      </c>
      <c r="DK15" s="95">
        <v>283.050515862346</v>
      </c>
      <c r="DL15" s="95">
        <v>436.08095780620698</v>
      </c>
      <c r="DM15" s="95">
        <v>493.275407151286</v>
      </c>
      <c r="DN15" s="95">
        <v>579.08872058498798</v>
      </c>
      <c r="DO15" s="96">
        <v>754.60341082685102</v>
      </c>
      <c r="DP15" t="b">
        <f t="shared" si="24"/>
        <v>1</v>
      </c>
      <c r="DQ15" t="s">
        <v>22</v>
      </c>
      <c r="DR15">
        <v>161.269894386543</v>
      </c>
      <c r="EM15" s="163" t="s">
        <v>22</v>
      </c>
      <c r="EN15" s="92" t="str">
        <f t="shared" si="25"/>
        <v>&gt;Q500</v>
      </c>
      <c r="EO15" s="22" t="b">
        <f t="shared" si="2"/>
        <v>1</v>
      </c>
      <c r="EP15" s="80">
        <v>1.8</v>
      </c>
      <c r="EQ15" s="23">
        <v>1.27729976177216</v>
      </c>
      <c r="ER15" s="59" t="str">
        <f t="shared" si="28"/>
        <v>HE</v>
      </c>
      <c r="ES15" s="68" t="s">
        <v>22</v>
      </c>
      <c r="ET15" s="4">
        <v>0.54547500000000004</v>
      </c>
      <c r="EU15" s="16">
        <v>5.0026505353704996E-3</v>
      </c>
      <c r="EV15" s="5" t="s">
        <v>32</v>
      </c>
      <c r="EW15" t="s">
        <v>206</v>
      </c>
      <c r="EX15" s="18" t="s">
        <v>208</v>
      </c>
      <c r="EY15" s="18" t="s">
        <v>86</v>
      </c>
      <c r="EZ15" s="5" t="s">
        <v>3</v>
      </c>
      <c r="FA15" s="23" t="s">
        <v>89</v>
      </c>
      <c r="FB15" s="22"/>
      <c r="FC15" s="22"/>
      <c r="FD15" s="11"/>
      <c r="FE15" s="8">
        <v>0.27857266715552997</v>
      </c>
      <c r="FF15" s="9">
        <v>0.30387394337871598</v>
      </c>
      <c r="FG15" s="9">
        <v>2.4408534575868699</v>
      </c>
      <c r="FH15" s="9">
        <v>6.0738367280390602</v>
      </c>
      <c r="FI15" s="9">
        <v>11.368990624651101</v>
      </c>
      <c r="FJ15" s="10">
        <v>31.266654594805001</v>
      </c>
      <c r="FK15" s="14"/>
      <c r="FL15" s="3">
        <v>545.47500000000002</v>
      </c>
      <c r="FM15" s="5">
        <v>25</v>
      </c>
      <c r="FN15" s="5" t="str">
        <f t="shared" si="3"/>
        <v>Q25</v>
      </c>
      <c r="FO15" s="5">
        <v>9769</v>
      </c>
      <c r="FP15" s="5">
        <v>4949</v>
      </c>
      <c r="FQ15" s="5">
        <v>1000</v>
      </c>
      <c r="FR15" s="5" t="str">
        <f t="shared" ref="FR15:FR22" si="32">IF(ISBLANK(FQ15),"na",CONCATENATE("Q",FQ15))</f>
        <v>Q1000</v>
      </c>
      <c r="FS15" s="68" t="s">
        <v>22</v>
      </c>
      <c r="FT15" s="5"/>
      <c r="FU15" s="5" t="str">
        <f>IF(ISBLANK(FT15),"---",IF(FT15=1000,"&gt;Q500",CONCATENATE("Q",FT15)))</f>
        <v>---</v>
      </c>
      <c r="FV15" s="5">
        <v>1000</v>
      </c>
      <c r="FW15" s="5" t="str">
        <f>IF(ISBLANK(FV15),"---",IF(FV15=1000,"&gt;Q500",CONCATENATE("Q",FV15)))</f>
        <v>&gt;Q500</v>
      </c>
      <c r="FX15" s="5">
        <v>1E-3</v>
      </c>
      <c r="FY15" s="4">
        <v>17.909161739767999</v>
      </c>
      <c r="FZ15" s="5">
        <v>9.0728264356753208</v>
      </c>
      <c r="GA15" s="4">
        <f t="shared" si="5"/>
        <v>9.0728264356753208</v>
      </c>
      <c r="GC15" t="s">
        <v>22</v>
      </c>
      <c r="GD15">
        <v>182.48945071845199</v>
      </c>
      <c r="GE15">
        <v>283.050515862346</v>
      </c>
      <c r="GF15">
        <v>436.08095780620698</v>
      </c>
      <c r="GG15">
        <v>493.275407151286</v>
      </c>
      <c r="GH15">
        <v>579.08872058498798</v>
      </c>
      <c r="GI15">
        <v>754.60341082685102</v>
      </c>
      <c r="GJ15" s="19"/>
      <c r="GK15" s="14"/>
      <c r="GL15" s="15">
        <v>5.0026505353704996E-3</v>
      </c>
      <c r="GM15">
        <v>318.67200792401798</v>
      </c>
      <c r="GN15">
        <v>505.06818116131598</v>
      </c>
      <c r="GO15">
        <v>746.96592697099902</v>
      </c>
      <c r="GP15">
        <v>135.40922698159</v>
      </c>
      <c r="GQ15">
        <v>190.77417505173599</v>
      </c>
      <c r="GR15">
        <v>240.37106234303801</v>
      </c>
      <c r="GS15">
        <v>265.66003447935799</v>
      </c>
      <c r="GT15">
        <v>309.16404753574398</v>
      </c>
      <c r="GU15">
        <v>335.42675065062599</v>
      </c>
      <c r="GV15" s="14"/>
      <c r="GW15" s="14"/>
      <c r="GX15">
        <f>11/24</f>
        <v>0.45833333333333331</v>
      </c>
      <c r="HB15">
        <v>1</v>
      </c>
      <c r="HC15">
        <f t="shared" si="29"/>
        <v>1</v>
      </c>
      <c r="HD15">
        <v>1</v>
      </c>
      <c r="HE15">
        <v>1</v>
      </c>
      <c r="HF15">
        <f t="shared" si="30"/>
        <v>2</v>
      </c>
      <c r="HG15" t="str">
        <f t="shared" si="31"/>
        <v/>
      </c>
      <c r="HH15" t="str">
        <f t="shared" si="6"/>
        <v>Entrenched</v>
      </c>
    </row>
    <row r="16" spans="1:219" ht="16.2" x14ac:dyDescent="0.3">
      <c r="A16" s="128"/>
      <c r="B16" s="3">
        <v>109.68</v>
      </c>
      <c r="C16" s="3"/>
      <c r="D16" s="3"/>
      <c r="E16" s="3"/>
      <c r="F16" s="3"/>
      <c r="G16" s="3"/>
      <c r="H16" s="3"/>
      <c r="I16" s="3"/>
      <c r="J16" s="3"/>
      <c r="K16" s="3"/>
      <c r="L16" s="3"/>
      <c r="M16" s="3"/>
      <c r="N16" s="3"/>
      <c r="O16" s="3"/>
      <c r="P16" s="3"/>
      <c r="Q16" s="3"/>
      <c r="R16" s="3"/>
      <c r="S16" s="3"/>
      <c r="T16" s="3"/>
      <c r="U16" s="3"/>
      <c r="V16" s="3"/>
      <c r="W16" s="3"/>
      <c r="X16" s="3" t="str">
        <f t="shared" si="11"/>
        <v/>
      </c>
      <c r="Y16" s="3"/>
      <c r="Z16" s="3" t="str">
        <f t="shared" si="12"/>
        <v/>
      </c>
      <c r="AA16" s="3">
        <f t="shared" si="0"/>
        <v>0</v>
      </c>
      <c r="AB16" s="3"/>
      <c r="AC16" s="3"/>
      <c r="AD16" s="3" t="str">
        <f t="shared" si="13"/>
        <v/>
      </c>
      <c r="AE16" s="3"/>
      <c r="AF16" s="3" t="str">
        <f t="shared" si="14"/>
        <v/>
      </c>
      <c r="AG16" s="3">
        <v>0</v>
      </c>
      <c r="AH16" s="3" t="s">
        <v>123</v>
      </c>
      <c r="AI16" s="3"/>
      <c r="AJ16" s="3">
        <v>1.44147312641144</v>
      </c>
      <c r="AK16" s="3">
        <v>1600</v>
      </c>
      <c r="AL16" s="5">
        <v>19</v>
      </c>
      <c r="AM16" s="5"/>
      <c r="AN16" s="5"/>
      <c r="AO16" s="5"/>
      <c r="AP16" s="5">
        <v>0</v>
      </c>
      <c r="AQ16" s="3" t="s">
        <v>96</v>
      </c>
      <c r="AR16" s="3"/>
      <c r="AS16" s="5" t="s">
        <v>45</v>
      </c>
      <c r="AT16" s="3" t="s">
        <v>120</v>
      </c>
      <c r="AU16" s="3"/>
      <c r="AV16" s="3"/>
      <c r="AW16" s="23"/>
      <c r="AX16" s="3" t="s">
        <v>129</v>
      </c>
      <c r="AY16" s="7" t="s">
        <v>50</v>
      </c>
      <c r="AZ16" s="7"/>
      <c r="BA16" s="28" t="str">
        <f t="shared" si="26"/>
        <v>NE</v>
      </c>
      <c r="BB16" s="7" t="s">
        <v>50</v>
      </c>
      <c r="BC16" s="4"/>
      <c r="BD16" s="23" t="str">
        <f t="shared" si="16"/>
        <v/>
      </c>
      <c r="BE16" s="5" t="s">
        <v>82</v>
      </c>
      <c r="BF16" s="5" t="s">
        <v>82</v>
      </c>
      <c r="BG16" s="5"/>
      <c r="BH16" s="3"/>
      <c r="BI16" s="3" t="str">
        <f t="shared" si="15"/>
        <v/>
      </c>
      <c r="BJ16" s="3"/>
      <c r="BK16" s="3"/>
      <c r="BL16" s="56" t="str">
        <f t="shared" si="17"/>
        <v/>
      </c>
      <c r="BM16" s="3" t="s">
        <v>162</v>
      </c>
      <c r="BN16" s="3"/>
      <c r="BO16" s="3"/>
      <c r="BP16" s="3">
        <f t="shared" si="18"/>
        <v>0</v>
      </c>
      <c r="BQ16" s="57" t="str">
        <f t="shared" si="19"/>
        <v/>
      </c>
      <c r="BR16" s="3"/>
      <c r="BS16" s="3"/>
      <c r="BT16" s="3"/>
      <c r="BU16" s="3"/>
      <c r="BV16" s="3"/>
      <c r="BW16" s="99" t="s">
        <v>50</v>
      </c>
      <c r="BX16" s="3">
        <v>14.5878920495988</v>
      </c>
      <c r="BY16" s="170">
        <f t="shared" si="20"/>
        <v>15</v>
      </c>
      <c r="BZ16" s="170">
        <f t="shared" si="7"/>
        <v>1</v>
      </c>
      <c r="CA16" s="170">
        <f t="shared" si="8"/>
        <v>0</v>
      </c>
      <c r="CB16" s="170" t="str">
        <f t="shared" si="9"/>
        <v/>
      </c>
      <c r="CC16" s="170" t="str">
        <f t="shared" si="10"/>
        <v>15</v>
      </c>
      <c r="CD16" s="27"/>
      <c r="CE16" s="109" t="s">
        <v>41</v>
      </c>
      <c r="CF16" s="95">
        <v>116</v>
      </c>
      <c r="CG16" s="171" t="s">
        <v>50</v>
      </c>
      <c r="CH16" s="4">
        <f t="shared" si="1"/>
        <v>2.8751700000000002</v>
      </c>
      <c r="CI16" s="16">
        <v>1.8162245521840001E-3</v>
      </c>
      <c r="CJ16" s="7" t="str">
        <f t="shared" si="21"/>
        <v>---</v>
      </c>
      <c r="CK16" s="3" t="s">
        <v>129</v>
      </c>
      <c r="CL16" s="7">
        <v>12</v>
      </c>
      <c r="CM16" s="98">
        <v>1.3</v>
      </c>
      <c r="CN16" s="147" t="s">
        <v>50</v>
      </c>
      <c r="CO16" s="145" t="str">
        <f t="shared" si="22"/>
        <v>Q2</v>
      </c>
      <c r="CP16" s="139" t="str">
        <f t="shared" si="23"/>
        <v>---</v>
      </c>
      <c r="CQ16" s="137">
        <v>56.467965372482297</v>
      </c>
      <c r="CR16" s="95">
        <v>56.467965372482297</v>
      </c>
      <c r="CS16" s="95">
        <v>56.467965372482297</v>
      </c>
      <c r="CT16" s="95">
        <v>56.467965372482297</v>
      </c>
      <c r="CU16" s="95">
        <v>56.467965372482297</v>
      </c>
      <c r="CV16" s="95">
        <v>56.467965372482297</v>
      </c>
      <c r="CW16" s="95">
        <v>2.5056658195153259</v>
      </c>
      <c r="CX16" s="95">
        <v>2.7488117430712511</v>
      </c>
      <c r="CY16" s="95">
        <v>3.0487574057087339</v>
      </c>
      <c r="CZ16" s="95">
        <v>3.3922276705266818</v>
      </c>
      <c r="DA16" s="95">
        <v>3.8125007376259488</v>
      </c>
      <c r="DB16" s="96">
        <v>6.1413529187087024</v>
      </c>
      <c r="DC16" s="7" t="s">
        <v>261</v>
      </c>
      <c r="DD16" s="7" t="s">
        <v>262</v>
      </c>
      <c r="DE16" s="7" t="s">
        <v>50</v>
      </c>
      <c r="DF16" s="7">
        <v>34</v>
      </c>
      <c r="DG16" s="7">
        <v>300</v>
      </c>
      <c r="DH16" s="7" t="s">
        <v>50</v>
      </c>
      <c r="DI16" s="136" t="s">
        <v>50</v>
      </c>
      <c r="DJ16" s="95">
        <v>46.410348257260601</v>
      </c>
      <c r="DK16" s="95">
        <v>60.039617402117798</v>
      </c>
      <c r="DL16" s="95">
        <v>81.019011966525596</v>
      </c>
      <c r="DM16" s="95">
        <v>90.692760566358103</v>
      </c>
      <c r="DN16" s="95">
        <v>100.861399524883</v>
      </c>
      <c r="DO16" s="96">
        <v>126.94518984715999</v>
      </c>
      <c r="DP16" t="b">
        <f t="shared" si="24"/>
        <v>0</v>
      </c>
      <c r="EM16" s="163" t="s">
        <v>41</v>
      </c>
      <c r="EN16" s="92" t="str">
        <f t="shared" si="25"/>
        <v>Q2</v>
      </c>
      <c r="EO16" s="22" t="b">
        <f t="shared" si="2"/>
        <v>1</v>
      </c>
      <c r="EP16" s="75">
        <v>1.3</v>
      </c>
      <c r="EQ16" s="89">
        <v>12</v>
      </c>
      <c r="ER16" s="28" t="str">
        <f t="shared" si="28"/>
        <v>NE</v>
      </c>
      <c r="ES16" s="68" t="s">
        <v>41</v>
      </c>
      <c r="ET16" s="4">
        <v>2.8751700000000002</v>
      </c>
      <c r="EU16" s="16">
        <v>1.8162245521840001E-3</v>
      </c>
      <c r="EV16" s="90" t="s">
        <v>50</v>
      </c>
      <c r="EW16" s="74" t="s">
        <v>30</v>
      </c>
      <c r="EX16" s="77" t="s">
        <v>86</v>
      </c>
      <c r="EY16" s="77" t="s">
        <v>86</v>
      </c>
      <c r="EZ16" s="78" t="s">
        <v>45</v>
      </c>
      <c r="FA16" s="85" t="s">
        <v>96</v>
      </c>
      <c r="FB16" s="22"/>
      <c r="FC16" s="22"/>
      <c r="FD16" s="11"/>
      <c r="FE16" s="8">
        <v>2.79285582136625</v>
      </c>
      <c r="FF16" s="9">
        <v>3.0360017449221002</v>
      </c>
      <c r="FG16" s="9">
        <v>3.33594740756027</v>
      </c>
      <c r="FH16" s="9">
        <v>3.6794176723779599</v>
      </c>
      <c r="FI16" s="9">
        <v>4.0996907394772499</v>
      </c>
      <c r="FJ16" s="10">
        <v>6.4285429205598197</v>
      </c>
      <c r="FK16" s="14"/>
      <c r="FL16" s="3">
        <v>2875.17</v>
      </c>
      <c r="FM16" s="5"/>
      <c r="FN16" s="5" t="str">
        <f t="shared" si="3"/>
        <v>na</v>
      </c>
      <c r="FO16" s="5"/>
      <c r="FP16" s="5"/>
      <c r="FQ16" s="5">
        <v>2</v>
      </c>
      <c r="FR16" s="5" t="str">
        <f t="shared" si="32"/>
        <v>Q2</v>
      </c>
      <c r="FS16" s="68" t="s">
        <v>41</v>
      </c>
      <c r="FT16" s="5">
        <v>2</v>
      </c>
      <c r="FU16" s="5" t="str">
        <f t="shared" si="4"/>
        <v>Q2</v>
      </c>
      <c r="FV16" s="5"/>
      <c r="FW16" s="5" t="str">
        <f t="shared" si="4"/>
        <v>---</v>
      </c>
      <c r="FX16" s="5"/>
      <c r="FY16" s="19">
        <v>74.972610315216102</v>
      </c>
      <c r="FZ16">
        <v>74.972610315216102</v>
      </c>
      <c r="GA16" s="4">
        <f t="shared" si="5"/>
        <v>74.972610315216102</v>
      </c>
      <c r="GC16" t="s">
        <v>41</v>
      </c>
      <c r="GD16">
        <v>46.410348257260601</v>
      </c>
      <c r="GE16">
        <v>60.039617402117798</v>
      </c>
      <c r="GF16">
        <v>81.019011966525596</v>
      </c>
      <c r="GG16">
        <v>90.692760566358103</v>
      </c>
      <c r="GH16">
        <v>100.861399524883</v>
      </c>
      <c r="GI16">
        <v>126.94518984715999</v>
      </c>
      <c r="GJ16" s="19"/>
      <c r="GK16" s="14"/>
      <c r="GL16" s="15">
        <v>1.8162245521840001E-3</v>
      </c>
      <c r="GP16">
        <v>12.9990572967109</v>
      </c>
      <c r="GQ16">
        <v>16.500169852739401</v>
      </c>
      <c r="GR16">
        <v>23.242803890369601</v>
      </c>
      <c r="GS16">
        <v>26.878199315100499</v>
      </c>
      <c r="GT16">
        <v>30.8662515374299</v>
      </c>
      <c r="GU16">
        <v>40.891572321204002</v>
      </c>
      <c r="GV16" s="14"/>
      <c r="GW16" s="14"/>
      <c r="GX16">
        <v>3</v>
      </c>
      <c r="GY16">
        <v>24</v>
      </c>
      <c r="GZ16">
        <f>GX16/GY16</f>
        <v>0.125</v>
      </c>
      <c r="HC16" t="str">
        <f t="shared" si="29"/>
        <v/>
      </c>
      <c r="HD16">
        <v>1</v>
      </c>
      <c r="HF16">
        <f t="shared" si="30"/>
        <v>1</v>
      </c>
      <c r="HG16">
        <f t="shared" si="31"/>
        <v>1</v>
      </c>
      <c r="HH16" t="str">
        <f t="shared" si="6"/>
        <v/>
      </c>
    </row>
    <row r="17" spans="1:247" x14ac:dyDescent="0.3">
      <c r="A17" s="128" t="s">
        <v>85</v>
      </c>
      <c r="B17" s="3">
        <v>99.69</v>
      </c>
      <c r="C17" s="3"/>
      <c r="D17" s="3"/>
      <c r="E17" s="3"/>
      <c r="F17" s="3"/>
      <c r="G17" s="3"/>
      <c r="H17" s="3"/>
      <c r="I17" s="3"/>
      <c r="J17" s="3"/>
      <c r="K17" s="3"/>
      <c r="L17" s="3"/>
      <c r="M17" s="3">
        <v>0</v>
      </c>
      <c r="N17" s="3">
        <v>0</v>
      </c>
      <c r="O17" s="3">
        <v>0</v>
      </c>
      <c r="P17" s="3">
        <v>0</v>
      </c>
      <c r="Q17" s="3">
        <v>0</v>
      </c>
      <c r="R17" s="3">
        <v>0</v>
      </c>
      <c r="S17" s="3"/>
      <c r="T17" s="3">
        <v>13</v>
      </c>
      <c r="U17" s="3" t="s">
        <v>128</v>
      </c>
      <c r="V17" s="3" t="s">
        <v>161</v>
      </c>
      <c r="W17" s="3">
        <v>2271.2600000000002</v>
      </c>
      <c r="X17" s="3">
        <f t="shared" si="11"/>
        <v>9.722365271880648E-2</v>
      </c>
      <c r="Y17" s="3">
        <v>2866.08</v>
      </c>
      <c r="Z17" s="3">
        <f t="shared" si="12"/>
        <v>0.12268554308371425</v>
      </c>
      <c r="AA17" s="3">
        <f t="shared" si="0"/>
        <v>0.21990919580252072</v>
      </c>
      <c r="AB17" s="3">
        <v>8.64</v>
      </c>
      <c r="AC17" s="3">
        <v>2954.88</v>
      </c>
      <c r="AD17" s="3">
        <f t="shared" si="13"/>
        <v>0.12648671968235556</v>
      </c>
      <c r="AE17" s="3">
        <v>0</v>
      </c>
      <c r="AF17" s="3">
        <f t="shared" si="14"/>
        <v>0</v>
      </c>
      <c r="AG17" s="3">
        <v>23361</v>
      </c>
      <c r="AH17" s="3" t="s">
        <v>123</v>
      </c>
      <c r="AI17" s="3">
        <v>9</v>
      </c>
      <c r="AJ17" s="3">
        <v>1.20853590965271</v>
      </c>
      <c r="AK17" s="3">
        <v>1500</v>
      </c>
      <c r="AL17" s="5">
        <v>21</v>
      </c>
      <c r="AM17" s="5" t="s">
        <v>85</v>
      </c>
      <c r="AN17" s="5" t="s">
        <v>81</v>
      </c>
      <c r="AO17" s="5">
        <v>13</v>
      </c>
      <c r="AP17" s="5">
        <v>0.5625</v>
      </c>
      <c r="AQ17" s="3" t="s">
        <v>96</v>
      </c>
      <c r="AR17" s="3" t="s">
        <v>131</v>
      </c>
      <c r="AS17" s="5" t="s">
        <v>1</v>
      </c>
      <c r="AT17" s="3" t="s">
        <v>120</v>
      </c>
      <c r="AU17" s="3" t="s">
        <v>81</v>
      </c>
      <c r="AV17" s="3"/>
      <c r="AW17" s="23" t="s">
        <v>96</v>
      </c>
      <c r="AX17" s="3" t="s">
        <v>129</v>
      </c>
      <c r="AY17" s="23">
        <v>5.9250302314758301</v>
      </c>
      <c r="AZ17" s="23"/>
      <c r="BA17" s="28" t="str">
        <f t="shared" si="26"/>
        <v>NE</v>
      </c>
      <c r="BB17" s="23">
        <v>1.75609755516052</v>
      </c>
      <c r="BC17" s="4">
        <f t="shared" si="27"/>
        <v>1.8</v>
      </c>
      <c r="BD17" s="23" t="b">
        <f t="shared" si="16"/>
        <v>1</v>
      </c>
      <c r="BE17" s="5" t="s">
        <v>90</v>
      </c>
      <c r="BF17" s="5" t="s">
        <v>82</v>
      </c>
      <c r="BG17" s="5">
        <v>1500</v>
      </c>
      <c r="BH17" s="3">
        <v>6031.6</v>
      </c>
      <c r="BI17" s="3">
        <f t="shared" si="15"/>
        <v>0.25818892761672074</v>
      </c>
      <c r="BJ17" s="3">
        <v>855.36</v>
      </c>
      <c r="BK17" s="3">
        <f t="shared" ref="BK17:BK30" si="33">IF(ISBLANK(BJ17),"",BJ17/($CH17*3.2808399*1000))</f>
        <v>3.6614576750155552E-2</v>
      </c>
      <c r="BL17" s="56">
        <f t="shared" si="17"/>
        <v>0.2948035043668763</v>
      </c>
      <c r="BM17" s="3" t="s">
        <v>162</v>
      </c>
      <c r="BN17" s="3">
        <v>4.085</v>
      </c>
      <c r="BO17" s="3">
        <v>7680.4101563000004</v>
      </c>
      <c r="BP17" s="3">
        <f t="shared" si="18"/>
        <v>7680.4101563000004</v>
      </c>
      <c r="BQ17" s="57">
        <f t="shared" si="19"/>
        <v>0.16438398284963088</v>
      </c>
      <c r="BR17" s="3">
        <v>4441.8100000000004</v>
      </c>
      <c r="BS17" s="3">
        <v>3238.6</v>
      </c>
      <c r="BT17" s="3">
        <v>4.1794289999999998</v>
      </c>
      <c r="BU17" s="3">
        <v>3.9548260000000002</v>
      </c>
      <c r="BV17" s="3" t="s">
        <v>87</v>
      </c>
      <c r="BW17" s="23" t="s">
        <v>96</v>
      </c>
      <c r="BX17" s="3">
        <v>15.0466445982546</v>
      </c>
      <c r="BY17" s="170">
        <f t="shared" si="20"/>
        <v>15</v>
      </c>
      <c r="BZ17" s="170">
        <f t="shared" si="7"/>
        <v>1</v>
      </c>
      <c r="CA17" s="170">
        <f t="shared" si="8"/>
        <v>0</v>
      </c>
      <c r="CB17" s="170" t="str">
        <f t="shared" si="9"/>
        <v/>
      </c>
      <c r="CC17" s="170" t="str">
        <f t="shared" si="10"/>
        <v>15</v>
      </c>
      <c r="CD17" s="27"/>
      <c r="CE17" s="109" t="s">
        <v>23</v>
      </c>
      <c r="CF17" s="4">
        <v>96.1</v>
      </c>
      <c r="CG17" s="95">
        <v>132.29539622489901</v>
      </c>
      <c r="CH17" s="4">
        <f t="shared" si="1"/>
        <v>7.1204900000000002</v>
      </c>
      <c r="CI17" s="16">
        <v>2.5397428065815002E-3</v>
      </c>
      <c r="CJ17" s="7" t="str">
        <f t="shared" si="21"/>
        <v>VB (15)</v>
      </c>
      <c r="CK17" s="3" t="s">
        <v>129</v>
      </c>
      <c r="CL17" s="23">
        <v>5.9250302314758301</v>
      </c>
      <c r="CM17" s="4">
        <v>1.8</v>
      </c>
      <c r="CN17" s="148">
        <v>0.2948035043668763</v>
      </c>
      <c r="CO17" s="145" t="str">
        <f t="shared" si="22"/>
        <v>Q2</v>
      </c>
      <c r="CP17" s="139" t="str">
        <f t="shared" si="23"/>
        <v>---</v>
      </c>
      <c r="CQ17" s="137">
        <v>58.756490073014596</v>
      </c>
      <c r="CR17" s="95">
        <v>81.0004648556489</v>
      </c>
      <c r="CS17" s="95">
        <v>81.0004648556489</v>
      </c>
      <c r="CT17" s="95">
        <v>81.0004648556489</v>
      </c>
      <c r="CU17" s="95">
        <v>81.0004648556489</v>
      </c>
      <c r="CV17" s="95">
        <v>81.0004648556489</v>
      </c>
      <c r="CW17" s="95">
        <v>4.039169028759706</v>
      </c>
      <c r="CX17" s="95">
        <v>6.5479159583963886</v>
      </c>
      <c r="CY17" s="95">
        <v>9.6659099387543694</v>
      </c>
      <c r="CZ17" s="95">
        <v>10.27239129306191</v>
      </c>
      <c r="DA17" s="95">
        <v>10.355071277608522</v>
      </c>
      <c r="DB17" s="96">
        <v>10.547435747946308</v>
      </c>
      <c r="DC17" s="3">
        <v>143.04332870333801</v>
      </c>
      <c r="DD17" s="3">
        <v>264.27219539247</v>
      </c>
      <c r="DE17" s="3">
        <v>488.21525354078898</v>
      </c>
      <c r="DF17" s="3">
        <v>143.04332870333801</v>
      </c>
      <c r="DG17" s="3">
        <v>264.27219539247</v>
      </c>
      <c r="DH17" s="3">
        <v>488.21525354078898</v>
      </c>
      <c r="DI17" s="92" t="str">
        <f t="shared" ref="DI17:DI30" si="34">IF(FN17="Q1000","&gt;Q500",FN17)</f>
        <v>Q50</v>
      </c>
      <c r="DJ17" s="95">
        <v>73.247701448761603</v>
      </c>
      <c r="DK17" s="95">
        <v>97.237446637520193</v>
      </c>
      <c r="DL17" s="95">
        <v>126.832623085469</v>
      </c>
      <c r="DM17" s="95">
        <v>140.314737684775</v>
      </c>
      <c r="DN17" s="95">
        <v>155.88093535873699</v>
      </c>
      <c r="DO17" s="96">
        <v>198.703640109215</v>
      </c>
      <c r="DP17" t="b">
        <f t="shared" si="24"/>
        <v>1</v>
      </c>
      <c r="DQ17" t="s">
        <v>23</v>
      </c>
      <c r="DR17">
        <v>132.29539622489901</v>
      </c>
      <c r="EM17" s="163" t="s">
        <v>23</v>
      </c>
      <c r="EN17" s="92" t="str">
        <f t="shared" si="25"/>
        <v>Q2</v>
      </c>
      <c r="EO17" s="22" t="b">
        <f t="shared" si="2"/>
        <v>1</v>
      </c>
      <c r="EP17" s="4">
        <v>1.8</v>
      </c>
      <c r="EQ17" s="58">
        <v>5.9250302314758301</v>
      </c>
      <c r="ER17" s="28" t="str">
        <f t="shared" si="28"/>
        <v>NE</v>
      </c>
      <c r="ES17" s="68" t="s">
        <v>23</v>
      </c>
      <c r="ET17" s="4">
        <v>7.1204900000000002</v>
      </c>
      <c r="EU17" s="16">
        <v>2.5397428065815002E-3</v>
      </c>
      <c r="EV17" s="5" t="s">
        <v>33</v>
      </c>
      <c r="EW17" s="74" t="s">
        <v>30</v>
      </c>
      <c r="EX17" s="77" t="s">
        <v>86</v>
      </c>
      <c r="EY17" s="77" t="s">
        <v>86</v>
      </c>
      <c r="EZ17" s="78" t="s">
        <v>1</v>
      </c>
      <c r="FA17" s="58" t="s">
        <v>96</v>
      </c>
      <c r="FB17" s="22"/>
      <c r="FC17" s="22"/>
      <c r="FD17" s="11"/>
      <c r="FE17" s="8">
        <v>4.2352726682692596</v>
      </c>
      <c r="FF17" s="9">
        <v>6.7440195979060196</v>
      </c>
      <c r="FG17" s="9">
        <v>9.8620211257021602</v>
      </c>
      <c r="FH17" s="9">
        <v>10.4685977704185</v>
      </c>
      <c r="FI17" s="9">
        <v>10.552984317223601</v>
      </c>
      <c r="FJ17" s="10">
        <v>10.7567797726531</v>
      </c>
      <c r="FK17" s="14"/>
      <c r="FL17" s="3">
        <v>7120.49</v>
      </c>
      <c r="FM17" s="5">
        <v>50</v>
      </c>
      <c r="FN17" s="5" t="str">
        <f t="shared" si="3"/>
        <v>Q50</v>
      </c>
      <c r="FO17" s="5">
        <v>754633</v>
      </c>
      <c r="FP17" s="5">
        <v>754633</v>
      </c>
      <c r="FQ17" s="5">
        <v>2</v>
      </c>
      <c r="FR17" s="5" t="str">
        <f t="shared" si="32"/>
        <v>Q2</v>
      </c>
      <c r="FS17" s="68" t="s">
        <v>23</v>
      </c>
      <c r="FT17" s="5">
        <v>2</v>
      </c>
      <c r="FU17" s="5" t="str">
        <f t="shared" si="4"/>
        <v>Q2</v>
      </c>
      <c r="FV17" s="5"/>
      <c r="FW17" s="5" t="str">
        <f t="shared" si="4"/>
        <v>---</v>
      </c>
      <c r="FX17" s="5">
        <v>0.5</v>
      </c>
      <c r="FY17" s="4">
        <v>105.980487297924</v>
      </c>
      <c r="FZ17" s="5">
        <v>105.980487297924</v>
      </c>
      <c r="GA17" s="4">
        <f t="shared" si="5"/>
        <v>105.980487297924</v>
      </c>
      <c r="GC17" t="s">
        <v>23</v>
      </c>
      <c r="GD17">
        <v>73.247701448761603</v>
      </c>
      <c r="GE17">
        <v>97.237446637520193</v>
      </c>
      <c r="GF17">
        <v>126.832623085469</v>
      </c>
      <c r="GG17">
        <v>140.314737684775</v>
      </c>
      <c r="GH17">
        <v>155.88093535873699</v>
      </c>
      <c r="GI17">
        <v>198.703640109215</v>
      </c>
      <c r="GJ17" s="19"/>
      <c r="GK17" s="14"/>
      <c r="GL17" s="15">
        <v>2.5397428065815002E-3</v>
      </c>
      <c r="GM17">
        <v>143.04332870333801</v>
      </c>
      <c r="GN17">
        <v>264.27219539247</v>
      </c>
      <c r="GO17">
        <v>488.21525354078898</v>
      </c>
      <c r="GP17">
        <v>22.4236779557483</v>
      </c>
      <c r="GQ17">
        <v>26.470740740087599</v>
      </c>
      <c r="GR17">
        <v>33.1937467585321</v>
      </c>
      <c r="GS17">
        <v>36.747286049943803</v>
      </c>
      <c r="GT17">
        <v>41.709183696784599</v>
      </c>
      <c r="GU17">
        <v>57.308550501050398</v>
      </c>
      <c r="GV17" s="14"/>
      <c r="GW17" s="14"/>
      <c r="HA17">
        <v>1</v>
      </c>
      <c r="HC17" t="str">
        <f t="shared" si="29"/>
        <v/>
      </c>
      <c r="HD17">
        <v>1</v>
      </c>
      <c r="HF17">
        <f t="shared" si="30"/>
        <v>1</v>
      </c>
      <c r="HG17">
        <f t="shared" si="31"/>
        <v>1</v>
      </c>
      <c r="HH17" t="str">
        <f t="shared" si="6"/>
        <v/>
      </c>
    </row>
    <row r="18" spans="1:247" x14ac:dyDescent="0.3">
      <c r="A18" s="128" t="s">
        <v>124</v>
      </c>
      <c r="B18" s="3">
        <v>89.78</v>
      </c>
      <c r="C18" s="3"/>
      <c r="D18" s="3"/>
      <c r="E18" s="3"/>
      <c r="F18" s="3"/>
      <c r="G18" s="3"/>
      <c r="H18" s="3"/>
      <c r="I18" s="3"/>
      <c r="J18" s="3"/>
      <c r="K18" s="3"/>
      <c r="L18" s="3"/>
      <c r="M18" s="3">
        <v>0</v>
      </c>
      <c r="N18" s="3">
        <v>0</v>
      </c>
      <c r="O18" s="3">
        <v>0</v>
      </c>
      <c r="P18" s="3">
        <v>0</v>
      </c>
      <c r="Q18" s="3">
        <v>0</v>
      </c>
      <c r="R18" s="3">
        <v>0</v>
      </c>
      <c r="S18" s="3"/>
      <c r="T18" s="3">
        <v>12</v>
      </c>
      <c r="U18" s="3" t="s">
        <v>128</v>
      </c>
      <c r="V18" s="3" t="s">
        <v>161</v>
      </c>
      <c r="W18" s="3">
        <v>558.79999999999995</v>
      </c>
      <c r="X18" s="3">
        <f t="shared" si="11"/>
        <v>7.8339691254563928E-2</v>
      </c>
      <c r="Y18" s="3">
        <v>866.32</v>
      </c>
      <c r="Z18" s="3">
        <f t="shared" si="12"/>
        <v>0.12145175613395461</v>
      </c>
      <c r="AA18" s="3">
        <f t="shared" si="0"/>
        <v>0.19979144738851853</v>
      </c>
      <c r="AB18" s="3">
        <v>8.81</v>
      </c>
      <c r="AC18" s="3">
        <v>1731.81</v>
      </c>
      <c r="AD18" s="3">
        <f t="shared" si="13"/>
        <v>0.24278715231132134</v>
      </c>
      <c r="AE18" s="3">
        <v>522.91</v>
      </c>
      <c r="AF18" s="3">
        <f t="shared" si="14"/>
        <v>7.3308174577530472E-2</v>
      </c>
      <c r="AG18" s="3">
        <v>7133</v>
      </c>
      <c r="AH18" s="3" t="s">
        <v>123</v>
      </c>
      <c r="AI18" s="3">
        <v>8</v>
      </c>
      <c r="AJ18" s="3">
        <v>1.03391790390015</v>
      </c>
      <c r="AK18" s="3">
        <v>619</v>
      </c>
      <c r="AL18" s="5">
        <v>22</v>
      </c>
      <c r="AM18" s="5" t="s">
        <v>85</v>
      </c>
      <c r="AN18" s="5" t="s">
        <v>86</v>
      </c>
      <c r="AO18" s="5">
        <v>13</v>
      </c>
      <c r="AP18" s="5">
        <v>0.57499999999999996</v>
      </c>
      <c r="AQ18" s="3" t="s">
        <v>89</v>
      </c>
      <c r="AR18" s="3" t="s">
        <v>125</v>
      </c>
      <c r="AS18" s="5" t="s">
        <v>1</v>
      </c>
      <c r="AT18" s="3" t="s">
        <v>120</v>
      </c>
      <c r="AU18" s="3" t="s">
        <v>81</v>
      </c>
      <c r="AV18" s="3"/>
      <c r="AW18" s="23" t="s">
        <v>89</v>
      </c>
      <c r="AX18" s="3" t="s">
        <v>129</v>
      </c>
      <c r="AY18" s="23">
        <v>8.5616436004638707</v>
      </c>
      <c r="AZ18" s="23"/>
      <c r="BA18" s="28" t="str">
        <f t="shared" si="26"/>
        <v>NE</v>
      </c>
      <c r="BB18" s="23">
        <v>1.59312844276428</v>
      </c>
      <c r="BC18" s="4">
        <f t="shared" si="27"/>
        <v>1.6</v>
      </c>
      <c r="BD18" s="23" t="b">
        <f t="shared" si="16"/>
        <v>1</v>
      </c>
      <c r="BE18" s="5" t="s">
        <v>82</v>
      </c>
      <c r="BF18" s="5" t="s">
        <v>82</v>
      </c>
      <c r="BG18" s="5">
        <v>619</v>
      </c>
      <c r="BH18" s="3">
        <v>1784.46</v>
      </c>
      <c r="BI18" s="3">
        <f t="shared" si="15"/>
        <v>0.25016829895511661</v>
      </c>
      <c r="BJ18" s="3">
        <v>377.05</v>
      </c>
      <c r="BK18" s="3">
        <f t="shared" si="33"/>
        <v>5.2859664616201382E-2</v>
      </c>
      <c r="BL18" s="56">
        <f t="shared" si="17"/>
        <v>0.303027963571318</v>
      </c>
      <c r="BM18" s="3" t="s">
        <v>162</v>
      </c>
      <c r="BN18" s="3">
        <v>4.2880000000000003</v>
      </c>
      <c r="BO18" s="3">
        <v>2737.6501465000001</v>
      </c>
      <c r="BP18" s="3">
        <f t="shared" si="18"/>
        <v>2737.6501465000001</v>
      </c>
      <c r="BQ18" s="57">
        <f t="shared" si="19"/>
        <v>0.19189930855388487</v>
      </c>
      <c r="BR18" s="3">
        <v>1608.39</v>
      </c>
      <c r="BS18" s="3">
        <v>1129.26</v>
      </c>
      <c r="BT18" s="3">
        <v>4.6173999999999999</v>
      </c>
      <c r="BU18" s="3">
        <v>3.8194659999999998</v>
      </c>
      <c r="BV18" s="3" t="s">
        <v>87</v>
      </c>
      <c r="BW18" s="23" t="s">
        <v>89</v>
      </c>
      <c r="BX18" s="3">
        <v>6.8946313210069103</v>
      </c>
      <c r="BY18" s="170">
        <f t="shared" si="20"/>
        <v>6.9</v>
      </c>
      <c r="BZ18" s="170">
        <f t="shared" si="7"/>
        <v>0</v>
      </c>
      <c r="CA18" s="170">
        <f t="shared" si="8"/>
        <v>0.90000000000000036</v>
      </c>
      <c r="CB18" s="170" t="str">
        <f t="shared" si="9"/>
        <v/>
      </c>
      <c r="CC18" s="170" t="str">
        <f t="shared" si="10"/>
        <v>6.9</v>
      </c>
      <c r="CD18" s="27"/>
      <c r="CE18" s="109" t="s">
        <v>4</v>
      </c>
      <c r="CF18" s="4">
        <v>81.400000000000006</v>
      </c>
      <c r="CG18" s="95">
        <v>318.64130290279002</v>
      </c>
      <c r="CH18" s="4">
        <f t="shared" si="1"/>
        <v>2.17415</v>
      </c>
      <c r="CI18" s="16">
        <v>3.2202596484366E-3</v>
      </c>
      <c r="CJ18" s="7" t="str">
        <f t="shared" si="21"/>
        <v>BD (6.9)</v>
      </c>
      <c r="CK18" s="3" t="s">
        <v>129</v>
      </c>
      <c r="CL18" s="23">
        <v>8.5616436004638707</v>
      </c>
      <c r="CM18" s="4">
        <v>1.6</v>
      </c>
      <c r="CN18" s="148">
        <v>0.303027963571318</v>
      </c>
      <c r="CO18" s="145" t="str">
        <f t="shared" si="22"/>
        <v>Q5</v>
      </c>
      <c r="CP18" s="139" t="str">
        <f t="shared" si="23"/>
        <v>---</v>
      </c>
      <c r="CQ18" s="137">
        <v>0</v>
      </c>
      <c r="CR18" s="95">
        <v>21.1379159671595</v>
      </c>
      <c r="CS18" s="95">
        <v>86.514729894441501</v>
      </c>
      <c r="CT18" s="95">
        <v>96.445507439688996</v>
      </c>
      <c r="CU18" s="95">
        <v>96.445507439688996</v>
      </c>
      <c r="CV18" s="95">
        <v>96.445507439688996</v>
      </c>
      <c r="CW18" s="95">
        <v>0.15671432971131891</v>
      </c>
      <c r="CX18" s="95">
        <v>0.30624802676903706</v>
      </c>
      <c r="CY18" s="95">
        <v>0.94657456185729139</v>
      </c>
      <c r="CZ18" s="95">
        <v>1.2486967564824414</v>
      </c>
      <c r="DA18" s="95">
        <v>1.3330658710641905</v>
      </c>
      <c r="DB18" s="96">
        <v>1.3741788730884943</v>
      </c>
      <c r="DC18" s="3">
        <v>374.01872307616799</v>
      </c>
      <c r="DD18" s="3">
        <v>827.62652508672898</v>
      </c>
      <c r="DE18" s="3">
        <v>1778.96559521468</v>
      </c>
      <c r="DF18" s="3">
        <v>374.01872307616799</v>
      </c>
      <c r="DG18" s="3">
        <v>827.62652508672898</v>
      </c>
      <c r="DH18" s="3">
        <v>1778.96559521468</v>
      </c>
      <c r="DI18" s="92" t="str">
        <f t="shared" si="34"/>
        <v>&gt;Q500</v>
      </c>
      <c r="DJ18" s="95">
        <v>90.301348392828999</v>
      </c>
      <c r="DK18" s="95">
        <v>130.42367188456899</v>
      </c>
      <c r="DL18" s="95">
        <v>185.08210991770099</v>
      </c>
      <c r="DM18" s="95">
        <v>209.984393227064</v>
      </c>
      <c r="DN18" s="95">
        <v>229.670860979878</v>
      </c>
      <c r="DO18" s="96">
        <v>297.764074509316</v>
      </c>
      <c r="DP18" t="b">
        <f t="shared" si="24"/>
        <v>1</v>
      </c>
      <c r="DQ18" t="s">
        <v>4</v>
      </c>
      <c r="DR18">
        <v>318.64130290279002</v>
      </c>
      <c r="EM18" s="163" t="s">
        <v>4</v>
      </c>
      <c r="EN18" s="92" t="str">
        <f t="shared" si="25"/>
        <v>Q5</v>
      </c>
      <c r="EO18" s="22" t="b">
        <f t="shared" si="2"/>
        <v>1</v>
      </c>
      <c r="EP18" s="4">
        <v>1.6</v>
      </c>
      <c r="EQ18" s="58">
        <v>8.5616436004638707</v>
      </c>
      <c r="ER18" s="28" t="str">
        <f t="shared" si="28"/>
        <v>NE</v>
      </c>
      <c r="ES18" s="68" t="s">
        <v>4</v>
      </c>
      <c r="ET18" s="4">
        <v>2.17415</v>
      </c>
      <c r="EU18" s="16">
        <v>3.2202596484366E-3</v>
      </c>
      <c r="EV18" s="5" t="s">
        <v>206</v>
      </c>
      <c r="EW18" s="74" t="s">
        <v>31</v>
      </c>
      <c r="EX18" s="77" t="s">
        <v>86</v>
      </c>
      <c r="EY18" s="77" t="s">
        <v>208</v>
      </c>
      <c r="EZ18" s="78" t="s">
        <v>1</v>
      </c>
      <c r="FA18" s="58" t="s">
        <v>89</v>
      </c>
      <c r="FB18" s="22"/>
      <c r="FC18" s="22"/>
      <c r="FD18" s="11"/>
      <c r="FE18" s="8">
        <v>0.422513753598737</v>
      </c>
      <c r="FF18" s="9">
        <v>0.57204761909513901</v>
      </c>
      <c r="FG18" s="9">
        <v>1.2123741541833699</v>
      </c>
      <c r="FH18" s="9">
        <v>1.5144963488084999</v>
      </c>
      <c r="FI18" s="9">
        <v>1.5988654633902599</v>
      </c>
      <c r="FJ18" s="10">
        <v>1.6399784654146401</v>
      </c>
      <c r="FK18" s="14"/>
      <c r="FL18" s="3">
        <v>2174.15</v>
      </c>
      <c r="FM18" s="5">
        <v>1000</v>
      </c>
      <c r="FN18" s="5" t="str">
        <f t="shared" si="3"/>
        <v>Q1000</v>
      </c>
      <c r="FO18" s="5">
        <v>139983</v>
      </c>
      <c r="FP18" s="5">
        <v>10451</v>
      </c>
      <c r="FQ18" s="5">
        <v>5</v>
      </c>
      <c r="FR18" s="5" t="str">
        <f t="shared" si="32"/>
        <v>Q5</v>
      </c>
      <c r="FS18" s="68" t="s">
        <v>4</v>
      </c>
      <c r="FT18" s="5">
        <v>5</v>
      </c>
      <c r="FU18" s="5" t="str">
        <f t="shared" si="4"/>
        <v>Q5</v>
      </c>
      <c r="FV18" s="5"/>
      <c r="FW18" s="5" t="str">
        <f t="shared" si="4"/>
        <v>---</v>
      </c>
      <c r="FX18" s="5">
        <v>0.2</v>
      </c>
      <c r="FY18" s="4">
        <v>64.385162017340093</v>
      </c>
      <c r="FZ18" s="5">
        <v>4.8069360439712003</v>
      </c>
      <c r="GA18" s="4">
        <f t="shared" si="5"/>
        <v>4.8069360439712003</v>
      </c>
      <c r="GC18" t="s">
        <v>4</v>
      </c>
      <c r="GD18">
        <v>90.301348392828999</v>
      </c>
      <c r="GE18">
        <v>130.42367188456899</v>
      </c>
      <c r="GF18">
        <v>185.08210991770099</v>
      </c>
      <c r="GG18">
        <v>209.984393227064</v>
      </c>
      <c r="GH18">
        <v>229.670860979878</v>
      </c>
      <c r="GI18">
        <v>297.764074509316</v>
      </c>
      <c r="GJ18" s="19"/>
      <c r="GK18" s="14"/>
      <c r="GL18" s="15">
        <v>3.2202596484366E-3</v>
      </c>
      <c r="GM18">
        <v>374.01872307616799</v>
      </c>
      <c r="GN18">
        <v>827.62652508672898</v>
      </c>
      <c r="GO18">
        <v>1778.96559521468</v>
      </c>
      <c r="GP18">
        <v>54.4216274502906</v>
      </c>
      <c r="GQ18">
        <v>60.902903827779198</v>
      </c>
      <c r="GR18">
        <v>64.231037111011304</v>
      </c>
      <c r="GS18">
        <v>70.058020403446804</v>
      </c>
      <c r="GT18">
        <v>76.341881502986794</v>
      </c>
      <c r="GU18">
        <v>101.90106422612899</v>
      </c>
      <c r="GV18" s="14"/>
      <c r="GW18" s="14"/>
      <c r="HA18">
        <v>1</v>
      </c>
      <c r="HC18" t="str">
        <f t="shared" si="29"/>
        <v/>
      </c>
      <c r="HD18">
        <v>1</v>
      </c>
      <c r="HF18">
        <f t="shared" si="30"/>
        <v>1</v>
      </c>
      <c r="HG18">
        <f t="shared" si="31"/>
        <v>1</v>
      </c>
      <c r="HH18" t="str">
        <f t="shared" si="6"/>
        <v/>
      </c>
    </row>
    <row r="19" spans="1:247" x14ac:dyDescent="0.3">
      <c r="A19" s="128" t="s">
        <v>85</v>
      </c>
      <c r="B19" s="3">
        <v>77.069999999999993</v>
      </c>
      <c r="C19" s="3"/>
      <c r="D19" s="3"/>
      <c r="E19" s="3"/>
      <c r="F19" s="3"/>
      <c r="G19" s="3"/>
      <c r="H19" s="3"/>
      <c r="I19" s="3"/>
      <c r="J19" s="3"/>
      <c r="K19" s="3"/>
      <c r="L19" s="3"/>
      <c r="M19" s="3">
        <v>0</v>
      </c>
      <c r="N19" s="3">
        <v>0</v>
      </c>
      <c r="O19" s="3">
        <v>0</v>
      </c>
      <c r="P19" s="3">
        <v>0</v>
      </c>
      <c r="Q19" s="3">
        <v>0</v>
      </c>
      <c r="R19" s="3">
        <v>0</v>
      </c>
      <c r="S19" s="3"/>
      <c r="T19" s="3">
        <v>9</v>
      </c>
      <c r="U19" s="3" t="s">
        <v>128</v>
      </c>
      <c r="V19" s="3" t="s">
        <v>128</v>
      </c>
      <c r="W19" s="3">
        <v>528.66999999999996</v>
      </c>
      <c r="X19" s="3">
        <f t="shared" si="11"/>
        <v>8.7385366461534331E-2</v>
      </c>
      <c r="Y19" s="3">
        <v>613.30999999999995</v>
      </c>
      <c r="Z19" s="3">
        <f t="shared" si="12"/>
        <v>0.10137575255740559</v>
      </c>
      <c r="AA19" s="3">
        <f t="shared" si="0"/>
        <v>0.18876111901893994</v>
      </c>
      <c r="AB19" s="3">
        <v>9.81</v>
      </c>
      <c r="AC19" s="3">
        <v>618.27</v>
      </c>
      <c r="AD19" s="3">
        <f t="shared" si="13"/>
        <v>0.10219560505073644</v>
      </c>
      <c r="AE19" s="3">
        <v>0</v>
      </c>
      <c r="AF19" s="3">
        <f t="shared" si="14"/>
        <v>0</v>
      </c>
      <c r="AG19" s="3">
        <v>6050</v>
      </c>
      <c r="AH19" s="3" t="s">
        <v>123</v>
      </c>
      <c r="AI19" s="3">
        <v>8</v>
      </c>
      <c r="AJ19" s="3">
        <v>1.0033167600631701</v>
      </c>
      <c r="AK19" s="3">
        <v>1267</v>
      </c>
      <c r="AL19" s="5">
        <v>19</v>
      </c>
      <c r="AM19" s="5" t="s">
        <v>85</v>
      </c>
      <c r="AN19" s="5" t="s">
        <v>81</v>
      </c>
      <c r="AO19" s="5">
        <v>12</v>
      </c>
      <c r="AP19" s="5">
        <v>0.51249999999999996</v>
      </c>
      <c r="AQ19" s="3" t="s">
        <v>96</v>
      </c>
      <c r="AR19" s="3" t="s">
        <v>85</v>
      </c>
      <c r="AS19" s="5" t="s">
        <v>3</v>
      </c>
      <c r="AT19" s="3" t="s">
        <v>120</v>
      </c>
      <c r="AU19" s="3" t="s">
        <v>81</v>
      </c>
      <c r="AV19" s="3"/>
      <c r="AW19" s="23" t="s">
        <v>89</v>
      </c>
      <c r="AX19" s="3" t="s">
        <v>129</v>
      </c>
      <c r="AY19" s="23">
        <v>3.7223167419433598</v>
      </c>
      <c r="AZ19" s="23"/>
      <c r="BA19" s="28" t="str">
        <f t="shared" si="26"/>
        <v>NE</v>
      </c>
      <c r="BB19" s="23">
        <v>1.6268656253814699</v>
      </c>
      <c r="BC19" s="4">
        <f t="shared" si="27"/>
        <v>1.6</v>
      </c>
      <c r="BD19" s="23" t="b">
        <f t="shared" si="16"/>
        <v>1</v>
      </c>
      <c r="BE19" s="5" t="s">
        <v>82</v>
      </c>
      <c r="BF19" s="5" t="s">
        <v>82</v>
      </c>
      <c r="BG19" s="5">
        <v>826</v>
      </c>
      <c r="BH19" s="3">
        <v>2821.74</v>
      </c>
      <c r="BI19" s="3">
        <f t="shared" si="15"/>
        <v>0.46641342228454397</v>
      </c>
      <c r="BJ19" s="3">
        <v>0</v>
      </c>
      <c r="BK19" s="3">
        <f t="shared" si="33"/>
        <v>0</v>
      </c>
      <c r="BL19" s="56">
        <f t="shared" si="17"/>
        <v>0.46641342228454397</v>
      </c>
      <c r="BM19" s="3" t="s">
        <v>162</v>
      </c>
      <c r="BN19" s="3">
        <v>4.9349999999999996</v>
      </c>
      <c r="BO19" s="3">
        <v>3016.3100586</v>
      </c>
      <c r="BP19" s="3">
        <f t="shared" si="18"/>
        <v>3016.3100586</v>
      </c>
      <c r="BQ19" s="57">
        <f t="shared" si="19"/>
        <v>0.24928723006069295</v>
      </c>
      <c r="BR19" s="3">
        <v>1575.01</v>
      </c>
      <c r="BS19" s="3">
        <v>1441.3</v>
      </c>
      <c r="BT19" s="3">
        <v>5.1743990000000002</v>
      </c>
      <c r="BU19" s="3">
        <v>4.6735790000000001</v>
      </c>
      <c r="BV19" s="3" t="s">
        <v>87</v>
      </c>
      <c r="BW19" s="23" t="s">
        <v>89</v>
      </c>
      <c r="BX19" s="3">
        <v>16.439600363306099</v>
      </c>
      <c r="BY19" s="170">
        <f t="shared" si="20"/>
        <v>16</v>
      </c>
      <c r="BZ19" s="170">
        <f t="shared" si="7"/>
        <v>1</v>
      </c>
      <c r="CA19" s="170">
        <f t="shared" si="8"/>
        <v>0</v>
      </c>
      <c r="CB19" s="170" t="str">
        <f t="shared" si="9"/>
        <v/>
      </c>
      <c r="CC19" s="170" t="str">
        <f t="shared" si="10"/>
        <v>16</v>
      </c>
      <c r="CD19" s="27"/>
      <c r="CE19" s="109" t="s">
        <v>16</v>
      </c>
      <c r="CF19" s="4">
        <v>57.4</v>
      </c>
      <c r="CG19" s="95">
        <v>147.03338943962001</v>
      </c>
      <c r="CH19" s="4">
        <f t="shared" si="1"/>
        <v>1.8440000000000001</v>
      </c>
      <c r="CI19" s="16">
        <v>3.2846115674992999E-3</v>
      </c>
      <c r="CJ19" s="7" t="str">
        <f t="shared" si="21"/>
        <v>BD (16)</v>
      </c>
      <c r="CK19" s="3" t="s">
        <v>129</v>
      </c>
      <c r="CL19" s="23">
        <v>3.7223167419433598</v>
      </c>
      <c r="CM19" s="4">
        <v>1.6</v>
      </c>
      <c r="CN19" s="148">
        <v>0.46641342228454397</v>
      </c>
      <c r="CO19" s="145" t="str">
        <f t="shared" si="22"/>
        <v>---</v>
      </c>
      <c r="CP19" s="139" t="str">
        <f t="shared" si="23"/>
        <v>Q100</v>
      </c>
      <c r="CQ19" s="137">
        <v>0</v>
      </c>
      <c r="CR19" s="95">
        <v>0</v>
      </c>
      <c r="CS19" s="95">
        <v>0</v>
      </c>
      <c r="CT19" s="95">
        <v>0</v>
      </c>
      <c r="CU19" s="95">
        <v>0</v>
      </c>
      <c r="CV19" s="95">
        <v>0</v>
      </c>
      <c r="CW19" s="95">
        <v>0.79938263578270063</v>
      </c>
      <c r="CX19" s="95">
        <v>3.0534301714845387</v>
      </c>
      <c r="CY19" s="95">
        <v>9.8379747039159433</v>
      </c>
      <c r="CZ19" s="95">
        <v>14.672460654610358</v>
      </c>
      <c r="DA19" s="95">
        <v>18.688685514843112</v>
      </c>
      <c r="DB19" s="96">
        <v>22.165613444251736</v>
      </c>
      <c r="DC19" s="3">
        <v>238.08659941981401</v>
      </c>
      <c r="DD19" s="3">
        <v>379.35102878012202</v>
      </c>
      <c r="DE19" s="3">
        <v>604.42613567579997</v>
      </c>
      <c r="DF19" s="3">
        <v>238.08659941981401</v>
      </c>
      <c r="DG19" s="3">
        <v>379.35102878012202</v>
      </c>
      <c r="DH19" s="3">
        <v>604.42613567579997</v>
      </c>
      <c r="DI19" s="92" t="str">
        <f t="shared" si="34"/>
        <v>&gt;Q500</v>
      </c>
      <c r="DJ19" s="95">
        <v>58.836539822529403</v>
      </c>
      <c r="DK19" s="95">
        <v>82.741706402216593</v>
      </c>
      <c r="DL19" s="95">
        <v>125.466688043638</v>
      </c>
      <c r="DM19" s="95">
        <v>146.950474865388</v>
      </c>
      <c r="DN19" s="95">
        <v>157.70328887276901</v>
      </c>
      <c r="DO19" s="96">
        <v>201.947596553122</v>
      </c>
      <c r="DP19" t="b">
        <f t="shared" si="24"/>
        <v>1</v>
      </c>
      <c r="DQ19" t="s">
        <v>16</v>
      </c>
      <c r="DR19">
        <v>147.03338943962001</v>
      </c>
      <c r="EM19" s="163" t="s">
        <v>16</v>
      </c>
      <c r="EN19" s="92" t="str">
        <f t="shared" si="25"/>
        <v>Q100</v>
      </c>
      <c r="EO19" s="22" t="b">
        <f t="shared" si="2"/>
        <v>1</v>
      </c>
      <c r="EP19" s="4">
        <v>1.6</v>
      </c>
      <c r="EQ19" s="23">
        <v>3.7223167419433598</v>
      </c>
      <c r="ER19" s="28" t="str">
        <f t="shared" si="28"/>
        <v>NE</v>
      </c>
      <c r="ES19" s="68" t="s">
        <v>16</v>
      </c>
      <c r="ET19" s="4">
        <v>1.8440000000000001</v>
      </c>
      <c r="EU19" s="16">
        <v>3.2846115674992999E-3</v>
      </c>
      <c r="EV19" s="5" t="s">
        <v>206</v>
      </c>
      <c r="EW19" t="s">
        <v>236</v>
      </c>
      <c r="EX19" s="18" t="s">
        <v>208</v>
      </c>
      <c r="EY19" s="18" t="s">
        <v>86</v>
      </c>
      <c r="EZ19" s="5" t="s">
        <v>3</v>
      </c>
      <c r="FA19" s="23" t="s">
        <v>89</v>
      </c>
      <c r="FB19" s="22"/>
      <c r="FC19" s="22"/>
      <c r="FD19" s="11"/>
      <c r="FE19" s="8">
        <v>1.0742977310808599</v>
      </c>
      <c r="FF19" s="9">
        <v>3.32842691454398</v>
      </c>
      <c r="FG19" s="9">
        <v>10.1129794818366</v>
      </c>
      <c r="FH19" s="9">
        <v>14.947465432531001</v>
      </c>
      <c r="FI19" s="9">
        <v>18.963690292763701</v>
      </c>
      <c r="FJ19" s="10">
        <v>22.4406182221724</v>
      </c>
      <c r="FK19" s="14"/>
      <c r="FL19" s="3">
        <v>1844</v>
      </c>
      <c r="FM19" s="5">
        <v>1000</v>
      </c>
      <c r="FN19" s="5" t="str">
        <f t="shared" si="3"/>
        <v>Q1000</v>
      </c>
      <c r="FO19" s="5">
        <v>21681</v>
      </c>
      <c r="FP19" s="5">
        <v>21681</v>
      </c>
      <c r="FQ19" s="5">
        <v>100</v>
      </c>
      <c r="FR19" s="5" t="str">
        <f t="shared" si="32"/>
        <v>Q100</v>
      </c>
      <c r="FS19" s="68" t="s">
        <v>16</v>
      </c>
      <c r="FT19" s="5"/>
      <c r="FU19" s="5" t="str">
        <f t="shared" si="4"/>
        <v>---</v>
      </c>
      <c r="FV19" s="5">
        <v>100</v>
      </c>
      <c r="FW19" s="5" t="str">
        <f t="shared" si="4"/>
        <v>Q100</v>
      </c>
      <c r="FX19" s="5">
        <v>0.01</v>
      </c>
      <c r="FY19" s="4">
        <v>11.7575921908893</v>
      </c>
      <c r="FZ19" s="5">
        <v>11.7575921908893</v>
      </c>
      <c r="GA19" s="4">
        <f t="shared" si="5"/>
        <v>11.7575921908893</v>
      </c>
      <c r="GC19" t="s">
        <v>16</v>
      </c>
      <c r="GD19">
        <v>58.836539822529403</v>
      </c>
      <c r="GE19">
        <v>82.741706402216593</v>
      </c>
      <c r="GF19">
        <v>125.466688043638</v>
      </c>
      <c r="GG19">
        <v>146.950474865388</v>
      </c>
      <c r="GH19">
        <v>157.70328887276901</v>
      </c>
      <c r="GI19">
        <v>201.947596553122</v>
      </c>
      <c r="GJ19" s="19"/>
      <c r="GK19" s="14"/>
      <c r="GL19" s="15">
        <v>3.2846115674992999E-3</v>
      </c>
      <c r="GM19">
        <v>238.08659941981401</v>
      </c>
      <c r="GN19">
        <v>379.35102878012202</v>
      </c>
      <c r="GO19">
        <v>604.42613567579997</v>
      </c>
      <c r="GP19">
        <v>37.982949964783103</v>
      </c>
      <c r="GQ19">
        <v>43.844639593118202</v>
      </c>
      <c r="GR19">
        <v>56.310780315720599</v>
      </c>
      <c r="GS19">
        <v>62.863239138432299</v>
      </c>
      <c r="GT19">
        <v>54.799117842503797</v>
      </c>
      <c r="GU19">
        <v>68.036677483834495</v>
      </c>
      <c r="GV19" s="14"/>
      <c r="GW19" s="14"/>
      <c r="HA19">
        <v>1</v>
      </c>
      <c r="HC19" t="str">
        <f t="shared" si="29"/>
        <v/>
      </c>
      <c r="HD19">
        <v>1</v>
      </c>
      <c r="HF19">
        <f t="shared" si="30"/>
        <v>1</v>
      </c>
      <c r="HG19">
        <f t="shared" si="31"/>
        <v>1</v>
      </c>
      <c r="HH19" t="str">
        <f t="shared" si="6"/>
        <v/>
      </c>
    </row>
    <row r="20" spans="1:247" x14ac:dyDescent="0.3">
      <c r="A20" s="128" t="s">
        <v>85</v>
      </c>
      <c r="B20" s="3">
        <v>75.709999999999994</v>
      </c>
      <c r="C20" s="3"/>
      <c r="D20" s="3"/>
      <c r="E20" s="3"/>
      <c r="F20" s="3"/>
      <c r="G20" s="3"/>
      <c r="H20" s="3"/>
      <c r="I20" s="3"/>
      <c r="J20" s="3"/>
      <c r="K20" s="3"/>
      <c r="L20" s="3"/>
      <c r="M20" s="3">
        <v>0</v>
      </c>
      <c r="N20" s="3">
        <v>0</v>
      </c>
      <c r="O20" s="3">
        <v>0</v>
      </c>
      <c r="P20" s="3">
        <v>0</v>
      </c>
      <c r="Q20" s="3">
        <v>0</v>
      </c>
      <c r="R20" s="3">
        <v>0</v>
      </c>
      <c r="S20" s="3"/>
      <c r="T20" s="3">
        <v>15</v>
      </c>
      <c r="U20" s="3" t="s">
        <v>85</v>
      </c>
      <c r="V20" s="3" t="s">
        <v>164</v>
      </c>
      <c r="W20" s="3">
        <v>0</v>
      </c>
      <c r="X20" s="3">
        <f t="shared" si="11"/>
        <v>0</v>
      </c>
      <c r="Y20" s="3">
        <v>150.88999999999999</v>
      </c>
      <c r="Z20" s="3">
        <f t="shared" si="12"/>
        <v>6.4531582881423535E-2</v>
      </c>
      <c r="AA20" s="3">
        <f t="shared" si="0"/>
        <v>6.4531582881423535E-2</v>
      </c>
      <c r="AB20" s="3">
        <v>4.38</v>
      </c>
      <c r="AC20" s="3">
        <v>267.76</v>
      </c>
      <c r="AD20" s="3">
        <f t="shared" si="13"/>
        <v>0.1145137294209687</v>
      </c>
      <c r="AE20" s="3">
        <v>0</v>
      </c>
      <c r="AF20" s="3">
        <f t="shared" si="14"/>
        <v>0</v>
      </c>
      <c r="AG20" s="3">
        <v>2338</v>
      </c>
      <c r="AH20" s="3" t="s">
        <v>123</v>
      </c>
      <c r="AI20" s="3">
        <v>13</v>
      </c>
      <c r="AJ20" s="3">
        <v>1</v>
      </c>
      <c r="AK20" s="3">
        <v>250</v>
      </c>
      <c r="AL20" s="5">
        <v>8</v>
      </c>
      <c r="AM20" s="5" t="s">
        <v>98</v>
      </c>
      <c r="AN20" s="5" t="s">
        <v>86</v>
      </c>
      <c r="AO20" s="5">
        <v>5</v>
      </c>
      <c r="AP20" s="5">
        <v>0.5625</v>
      </c>
      <c r="AQ20" s="3" t="s">
        <v>80</v>
      </c>
      <c r="AR20" s="3" t="s">
        <v>125</v>
      </c>
      <c r="AS20" s="5" t="s">
        <v>5</v>
      </c>
      <c r="AT20" s="3" t="s">
        <v>120</v>
      </c>
      <c r="AU20" s="3" t="s">
        <v>81</v>
      </c>
      <c r="AV20" s="3"/>
      <c r="AW20" s="23" t="s">
        <v>80</v>
      </c>
      <c r="AX20" s="3" t="s">
        <v>130</v>
      </c>
      <c r="AY20" s="23">
        <v>1.126953125</v>
      </c>
      <c r="AZ20" s="23"/>
      <c r="BA20" s="59" t="str">
        <f t="shared" si="26"/>
        <v>HE</v>
      </c>
      <c r="BB20" s="23">
        <v>1</v>
      </c>
      <c r="BC20" s="4">
        <f t="shared" si="27"/>
        <v>1</v>
      </c>
      <c r="BD20" s="23" t="b">
        <f t="shared" si="16"/>
        <v>0</v>
      </c>
      <c r="BE20" s="5" t="s">
        <v>97</v>
      </c>
      <c r="BF20" s="5" t="s">
        <v>97</v>
      </c>
      <c r="BG20" s="5">
        <v>250</v>
      </c>
      <c r="BH20" s="3">
        <v>334.13</v>
      </c>
      <c r="BI20" s="3">
        <f t="shared" si="15"/>
        <v>0.14289838815143513</v>
      </c>
      <c r="BJ20" s="3">
        <v>0</v>
      </c>
      <c r="BK20" s="3">
        <f t="shared" si="33"/>
        <v>0</v>
      </c>
      <c r="BL20" s="56">
        <f t="shared" si="17"/>
        <v>0.14289838815143513</v>
      </c>
      <c r="BM20" s="3" t="s">
        <v>83</v>
      </c>
      <c r="BN20" s="3">
        <v>4.3239999999999998</v>
      </c>
      <c r="BO20" s="3">
        <v>969.89996340000005</v>
      </c>
      <c r="BP20" s="3">
        <f t="shared" si="18"/>
        <v>969.89996340000005</v>
      </c>
      <c r="BQ20" s="57">
        <f t="shared" si="19"/>
        <v>0.20740002609462777</v>
      </c>
      <c r="BR20" s="3">
        <v>500.56</v>
      </c>
      <c r="BS20" s="3">
        <v>469.34</v>
      </c>
      <c r="BT20" s="3">
        <v>5.9898509999999998</v>
      </c>
      <c r="BU20" s="3">
        <v>2.5466190000000002</v>
      </c>
      <c r="BV20" s="3" t="s">
        <v>94</v>
      </c>
      <c r="BW20" s="23" t="s">
        <v>80</v>
      </c>
      <c r="BX20" s="3">
        <v>3.3020737022850399</v>
      </c>
      <c r="BY20" s="170">
        <f t="shared" si="20"/>
        <v>3.3</v>
      </c>
      <c r="BZ20" s="170">
        <f t="shared" si="7"/>
        <v>0</v>
      </c>
      <c r="CA20" s="170">
        <f t="shared" si="8"/>
        <v>0.29999999999999982</v>
      </c>
      <c r="CB20" s="170" t="str">
        <f t="shared" si="9"/>
        <v/>
      </c>
      <c r="CC20" s="170" t="str">
        <f t="shared" si="10"/>
        <v>3.3</v>
      </c>
      <c r="CD20" s="27"/>
      <c r="CE20" s="109" t="s">
        <v>17</v>
      </c>
      <c r="CF20" s="4">
        <v>55.3</v>
      </c>
      <c r="CG20" s="95">
        <v>373.62690705444999</v>
      </c>
      <c r="CH20" s="4">
        <f t="shared" si="1"/>
        <v>0.71269399999999994</v>
      </c>
      <c r="CI20" s="16">
        <v>3.8802226158114001E-3</v>
      </c>
      <c r="CJ20" s="7" t="str">
        <f t="shared" si="21"/>
        <v>SC (3.3)</v>
      </c>
      <c r="CK20" s="3" t="s">
        <v>129</v>
      </c>
      <c r="CL20" s="23">
        <v>1.126953125</v>
      </c>
      <c r="CM20" s="4">
        <v>1</v>
      </c>
      <c r="CN20" s="148">
        <v>0.14289838815143513</v>
      </c>
      <c r="CO20" s="145" t="str">
        <f t="shared" si="22"/>
        <v>Q500</v>
      </c>
      <c r="CP20" s="139" t="str">
        <f t="shared" si="23"/>
        <v>---</v>
      </c>
      <c r="CQ20" s="137">
        <v>0</v>
      </c>
      <c r="CR20" s="95">
        <v>0</v>
      </c>
      <c r="CS20" s="95">
        <v>0</v>
      </c>
      <c r="CT20" s="95">
        <v>0</v>
      </c>
      <c r="CU20" s="95">
        <v>0</v>
      </c>
      <c r="CV20" s="95">
        <v>30.5460688598472</v>
      </c>
      <c r="CW20" s="95">
        <v>0.10281339587038098</v>
      </c>
      <c r="CX20" s="95">
        <v>0.11252836134984595</v>
      </c>
      <c r="CY20" s="95">
        <v>0.20252953013464828</v>
      </c>
      <c r="CZ20" s="95">
        <v>0.2639032157493707</v>
      </c>
      <c r="DA20" s="95">
        <v>0.2923535923173845</v>
      </c>
      <c r="DB20" s="96">
        <v>0.58913331778379785</v>
      </c>
      <c r="DC20" s="3">
        <v>360.32125948299301</v>
      </c>
      <c r="DD20" s="3">
        <v>877.62576918693105</v>
      </c>
      <c r="DE20" s="3">
        <v>1895.48085674974</v>
      </c>
      <c r="DF20" s="3">
        <v>360.32125948299301</v>
      </c>
      <c r="DG20" s="3">
        <v>877.62576918693105</v>
      </c>
      <c r="DH20" s="3">
        <v>1895.48085674974</v>
      </c>
      <c r="DI20" s="92" t="str">
        <f t="shared" si="34"/>
        <v>Q500</v>
      </c>
      <c r="DJ20" s="95">
        <v>106.016581491235</v>
      </c>
      <c r="DK20" s="95">
        <v>151.04189395624601</v>
      </c>
      <c r="DL20" s="95">
        <v>243.175452030646</v>
      </c>
      <c r="DM20" s="95">
        <v>290.08587636315201</v>
      </c>
      <c r="DN20" s="95">
        <v>326.72061271784798</v>
      </c>
      <c r="DO20" s="96">
        <v>447.98308296017802</v>
      </c>
      <c r="DP20" t="b">
        <f t="shared" si="24"/>
        <v>1</v>
      </c>
      <c r="DQ20" t="s">
        <v>17</v>
      </c>
      <c r="DR20">
        <v>373.62690705444999</v>
      </c>
      <c r="EM20" s="163" t="s">
        <v>17</v>
      </c>
      <c r="EN20" s="92" t="str">
        <f t="shared" si="25"/>
        <v>Q500</v>
      </c>
      <c r="EO20" s="22" t="b">
        <f t="shared" si="2"/>
        <v>1</v>
      </c>
      <c r="EP20" s="4">
        <v>1</v>
      </c>
      <c r="EQ20" s="23">
        <v>1.126953125</v>
      </c>
      <c r="ER20" s="59" t="str">
        <f t="shared" si="28"/>
        <v>HE</v>
      </c>
      <c r="ES20" s="68" t="s">
        <v>17</v>
      </c>
      <c r="ET20" s="4">
        <v>0.71269399999999994</v>
      </c>
      <c r="EU20" s="16">
        <v>3.8802226158114001E-3</v>
      </c>
      <c r="EV20" s="5" t="s">
        <v>35</v>
      </c>
      <c r="EW20" t="s">
        <v>35</v>
      </c>
      <c r="EX20" s="18" t="s">
        <v>208</v>
      </c>
      <c r="EY20" s="18" t="s">
        <v>208</v>
      </c>
      <c r="EZ20" s="5" t="s">
        <v>5</v>
      </c>
      <c r="FA20" s="59" t="s">
        <v>80</v>
      </c>
      <c r="FB20" s="22"/>
      <c r="FC20" s="22"/>
      <c r="FD20" s="11"/>
      <c r="FE20" s="8">
        <v>0.23855802791898001</v>
      </c>
      <c r="FF20" s="9">
        <v>0.248272993398435</v>
      </c>
      <c r="FG20" s="9">
        <v>0.33827416218322498</v>
      </c>
      <c r="FH20" s="9">
        <v>0.39964784779798301</v>
      </c>
      <c r="FI20" s="9">
        <v>0.42809822436585099</v>
      </c>
      <c r="FJ20" s="10">
        <v>0.72487794983246601</v>
      </c>
      <c r="FK20" s="14"/>
      <c r="FL20" s="3">
        <v>712.69399999999996</v>
      </c>
      <c r="FM20" s="5">
        <v>500</v>
      </c>
      <c r="FN20" s="5" t="str">
        <f t="shared" si="3"/>
        <v>Q500</v>
      </c>
      <c r="FO20" s="5">
        <v>25963</v>
      </c>
      <c r="FP20" s="5">
        <v>25963</v>
      </c>
      <c r="FQ20" s="5">
        <v>500</v>
      </c>
      <c r="FR20" s="5" t="str">
        <f t="shared" si="32"/>
        <v>Q500</v>
      </c>
      <c r="FS20" s="68" t="s">
        <v>17</v>
      </c>
      <c r="FT20" s="5">
        <v>500</v>
      </c>
      <c r="FU20" s="5" t="str">
        <f t="shared" si="4"/>
        <v>Q500</v>
      </c>
      <c r="FV20" s="5"/>
      <c r="FW20" s="5" t="str">
        <f t="shared" si="4"/>
        <v>---</v>
      </c>
      <c r="FX20" s="5">
        <v>2E-3</v>
      </c>
      <c r="FY20" s="4">
        <v>36.429379228673099</v>
      </c>
      <c r="FZ20" s="5">
        <v>36.429379228673099</v>
      </c>
      <c r="GA20" s="4">
        <f t="shared" si="5"/>
        <v>36.429379228673099</v>
      </c>
      <c r="GC20" t="s">
        <v>17</v>
      </c>
      <c r="GD20">
        <v>106.016581491235</v>
      </c>
      <c r="GE20">
        <v>151.04189395624601</v>
      </c>
      <c r="GF20">
        <v>243.175452030646</v>
      </c>
      <c r="GG20">
        <v>290.08587636315201</v>
      </c>
      <c r="GH20">
        <v>326.72061271784798</v>
      </c>
      <c r="GI20">
        <v>447.98308296017802</v>
      </c>
      <c r="GJ20" s="19"/>
      <c r="GK20" s="14"/>
      <c r="GL20" s="15">
        <v>3.8802226158114001E-3</v>
      </c>
      <c r="GM20">
        <v>360.32125948299301</v>
      </c>
      <c r="GN20">
        <v>877.62576918693105</v>
      </c>
      <c r="GO20">
        <v>1895.48085674974</v>
      </c>
      <c r="GP20">
        <v>72.803075661931302</v>
      </c>
      <c r="GQ20">
        <v>96.850807684733695</v>
      </c>
      <c r="GR20">
        <v>140.22217350001301</v>
      </c>
      <c r="GS20">
        <v>162.75986935268901</v>
      </c>
      <c r="GT20">
        <v>179.472347171336</v>
      </c>
      <c r="GU20">
        <v>188.92808294133999</v>
      </c>
      <c r="GV20" s="14"/>
      <c r="GW20" s="14"/>
      <c r="HC20" t="str">
        <f t="shared" si="29"/>
        <v/>
      </c>
      <c r="HF20">
        <f t="shared" si="30"/>
        <v>0</v>
      </c>
      <c r="HG20" t="str">
        <f t="shared" si="31"/>
        <v/>
      </c>
      <c r="HH20" t="str">
        <f t="shared" si="6"/>
        <v>Entrenched</v>
      </c>
    </row>
    <row r="21" spans="1:247" x14ac:dyDescent="0.3">
      <c r="A21" s="128" t="s">
        <v>85</v>
      </c>
      <c r="B21" s="3">
        <v>75.260000000000005</v>
      </c>
      <c r="C21" s="3"/>
      <c r="D21" s="3"/>
      <c r="E21" s="3"/>
      <c r="F21" s="3"/>
      <c r="G21" s="3"/>
      <c r="H21" s="3"/>
      <c r="I21" s="3"/>
      <c r="J21" s="3"/>
      <c r="K21" s="3"/>
      <c r="L21" s="3"/>
      <c r="M21" s="3">
        <v>0</v>
      </c>
      <c r="N21" s="3">
        <v>0</v>
      </c>
      <c r="O21" s="3">
        <v>0</v>
      </c>
      <c r="P21" s="3">
        <v>0</v>
      </c>
      <c r="Q21" s="3">
        <v>0</v>
      </c>
      <c r="R21" s="3">
        <v>0</v>
      </c>
      <c r="S21" s="3"/>
      <c r="T21" s="3">
        <v>11</v>
      </c>
      <c r="U21" s="3" t="s">
        <v>128</v>
      </c>
      <c r="V21" s="3" t="s">
        <v>128</v>
      </c>
      <c r="W21" s="3">
        <v>612.38</v>
      </c>
      <c r="X21" s="3">
        <f t="shared" si="11"/>
        <v>7.0964677505878482E-2</v>
      </c>
      <c r="Y21" s="3">
        <v>855.32</v>
      </c>
      <c r="Z21" s="3">
        <f t="shared" si="12"/>
        <v>9.9117391104098743E-2</v>
      </c>
      <c r="AA21" s="3">
        <f t="shared" si="0"/>
        <v>0.17008206860997721</v>
      </c>
      <c r="AB21" s="3">
        <v>7.41</v>
      </c>
      <c r="AC21" s="3">
        <v>1136.17</v>
      </c>
      <c r="AD21" s="3">
        <f t="shared" si="13"/>
        <v>0.13166324445908417</v>
      </c>
      <c r="AE21" s="3">
        <v>0</v>
      </c>
      <c r="AF21" s="3">
        <f t="shared" si="14"/>
        <v>0</v>
      </c>
      <c r="AG21" s="3">
        <v>8584</v>
      </c>
      <c r="AH21" s="3" t="s">
        <v>123</v>
      </c>
      <c r="AI21" s="3">
        <v>8</v>
      </c>
      <c r="AJ21" s="3">
        <v>1.15561807155609</v>
      </c>
      <c r="AK21" s="3">
        <v>974</v>
      </c>
      <c r="AL21" s="5">
        <v>23</v>
      </c>
      <c r="AM21" s="5" t="s">
        <v>85</v>
      </c>
      <c r="AN21" s="5" t="s">
        <v>81</v>
      </c>
      <c r="AO21" s="5">
        <v>11</v>
      </c>
      <c r="AP21" s="5">
        <v>0.63749999999999996</v>
      </c>
      <c r="AQ21" s="3" t="s">
        <v>96</v>
      </c>
      <c r="AR21" s="3" t="s">
        <v>85</v>
      </c>
      <c r="AS21" s="5" t="s">
        <v>1</v>
      </c>
      <c r="AT21" s="3" t="s">
        <v>120</v>
      </c>
      <c r="AU21" s="3" t="s">
        <v>81</v>
      </c>
      <c r="AV21" s="3"/>
      <c r="AW21" s="23" t="s">
        <v>89</v>
      </c>
      <c r="AX21" s="3" t="s">
        <v>129</v>
      </c>
      <c r="AY21" s="23">
        <v>5.3740777969360396</v>
      </c>
      <c r="AZ21" s="23"/>
      <c r="BA21" s="28" t="str">
        <f t="shared" si="26"/>
        <v>NE</v>
      </c>
      <c r="BB21" s="23">
        <v>1.3722221851348899</v>
      </c>
      <c r="BC21" s="4">
        <f t="shared" si="27"/>
        <v>1.4</v>
      </c>
      <c r="BD21" s="23" t="b">
        <f t="shared" si="16"/>
        <v>1</v>
      </c>
      <c r="BE21" s="5" t="s">
        <v>90</v>
      </c>
      <c r="BF21" s="5" t="s">
        <v>82</v>
      </c>
      <c r="BG21" s="5">
        <v>900</v>
      </c>
      <c r="BH21" s="3">
        <v>4118.53</v>
      </c>
      <c r="BI21" s="3">
        <f t="shared" si="15"/>
        <v>0.47726926622078725</v>
      </c>
      <c r="BJ21" s="3">
        <v>586.15</v>
      </c>
      <c r="BK21" s="3">
        <f t="shared" si="33"/>
        <v>6.7925055880451154E-2</v>
      </c>
      <c r="BL21" s="56">
        <f t="shared" si="17"/>
        <v>0.54519432210123842</v>
      </c>
      <c r="BM21" s="3" t="s">
        <v>162</v>
      </c>
      <c r="BN21" s="3">
        <v>5.423</v>
      </c>
      <c r="BO21" s="3">
        <v>3630.4699707</v>
      </c>
      <c r="BP21" s="3">
        <f t="shared" si="18"/>
        <v>3630.4699707</v>
      </c>
      <c r="BQ21" s="57">
        <f t="shared" si="19"/>
        <v>0.21035560490667693</v>
      </c>
      <c r="BR21" s="3">
        <v>1125.0999999999999</v>
      </c>
      <c r="BS21" s="3">
        <v>2505.37</v>
      </c>
      <c r="BT21" s="3">
        <v>4.3745000000000003</v>
      </c>
      <c r="BU21" s="3">
        <v>5.8933289999999996</v>
      </c>
      <c r="BV21" s="3" t="s">
        <v>94</v>
      </c>
      <c r="BW21" s="23" t="s">
        <v>89</v>
      </c>
      <c r="BX21" s="3">
        <v>12.9418017539197</v>
      </c>
      <c r="BY21" s="170">
        <f t="shared" si="20"/>
        <v>13</v>
      </c>
      <c r="BZ21" s="170">
        <f t="shared" si="7"/>
        <v>1</v>
      </c>
      <c r="CA21" s="170">
        <f t="shared" si="8"/>
        <v>0</v>
      </c>
      <c r="CB21" s="170" t="str">
        <f t="shared" si="9"/>
        <v/>
      </c>
      <c r="CC21" s="170" t="str">
        <f t="shared" si="10"/>
        <v>13</v>
      </c>
      <c r="CD21" s="27"/>
      <c r="CE21" s="109" t="s">
        <v>18</v>
      </c>
      <c r="CF21" s="4">
        <v>54.5</v>
      </c>
      <c r="CG21" s="95">
        <v>237.986650882151</v>
      </c>
      <c r="CH21" s="4">
        <f t="shared" si="1"/>
        <v>2.6302300000000001</v>
      </c>
      <c r="CI21" s="16">
        <v>5.1159406074247999E-3</v>
      </c>
      <c r="CJ21" s="7" t="str">
        <f t="shared" si="21"/>
        <v>BD (13)</v>
      </c>
      <c r="CK21" s="3" t="s">
        <v>129</v>
      </c>
      <c r="CL21" s="23">
        <v>5.3740777969360396</v>
      </c>
      <c r="CM21" s="4">
        <v>1.4</v>
      </c>
      <c r="CN21" s="148">
        <v>0.54519432210123842</v>
      </c>
      <c r="CO21" s="145" t="str">
        <f t="shared" si="22"/>
        <v>---</v>
      </c>
      <c r="CP21" s="139" t="str">
        <f t="shared" si="23"/>
        <v>Q25</v>
      </c>
      <c r="CQ21" s="137">
        <v>0</v>
      </c>
      <c r="CR21" s="95">
        <v>0</v>
      </c>
      <c r="CS21" s="95">
        <v>0</v>
      </c>
      <c r="CT21" s="95">
        <v>0</v>
      </c>
      <c r="CU21" s="95">
        <v>0</v>
      </c>
      <c r="CV21" s="95">
        <v>0</v>
      </c>
      <c r="CW21" s="95">
        <v>0.32401585477921208</v>
      </c>
      <c r="CX21" s="95">
        <v>4.2428915267088811</v>
      </c>
      <c r="CY21" s="95">
        <v>9.2522812832042831</v>
      </c>
      <c r="CZ21" s="95">
        <v>9.4119052936629117</v>
      </c>
      <c r="DA21" s="95">
        <v>9.4970767482474159</v>
      </c>
      <c r="DB21" s="96">
        <v>9.6733621782982482</v>
      </c>
      <c r="DC21" s="3">
        <v>420.09324898966798</v>
      </c>
      <c r="DD21" s="3">
        <v>741.36331287751</v>
      </c>
      <c r="DE21" s="3">
        <v>1478.4633083460201</v>
      </c>
      <c r="DF21" s="3">
        <v>420.09324898966798</v>
      </c>
      <c r="DG21" s="3">
        <v>741.36331287751</v>
      </c>
      <c r="DH21" s="3">
        <v>1478.4633083460201</v>
      </c>
      <c r="DI21" s="92" t="str">
        <f t="shared" si="34"/>
        <v>&gt;Q500</v>
      </c>
      <c r="DJ21" s="95">
        <v>122.358003507837</v>
      </c>
      <c r="DK21" s="95">
        <v>181.29759240578599</v>
      </c>
      <c r="DL21" s="95">
        <v>248.24423766650801</v>
      </c>
      <c r="DM21" s="95">
        <v>274.155806193378</v>
      </c>
      <c r="DN21" s="95">
        <v>316.33571836035998</v>
      </c>
      <c r="DO21" s="96">
        <v>381.563865284104</v>
      </c>
      <c r="DP21" t="b">
        <f t="shared" si="24"/>
        <v>1</v>
      </c>
      <c r="DQ21" t="s">
        <v>18</v>
      </c>
      <c r="DR21">
        <v>237.986650882151</v>
      </c>
      <c r="EM21" s="163" t="s">
        <v>18</v>
      </c>
      <c r="EN21" s="92" t="str">
        <f t="shared" si="25"/>
        <v>Q25</v>
      </c>
      <c r="EO21" s="22" t="b">
        <f t="shared" si="2"/>
        <v>1</v>
      </c>
      <c r="EP21" s="4">
        <v>1.4</v>
      </c>
      <c r="EQ21" s="23">
        <v>5.3740777969360396</v>
      </c>
      <c r="ER21" s="28" t="str">
        <f t="shared" si="28"/>
        <v>NE</v>
      </c>
      <c r="ES21" s="68" t="s">
        <v>18</v>
      </c>
      <c r="ET21" s="4">
        <v>2.6302300000000001</v>
      </c>
      <c r="EU21" s="16">
        <v>5.1159406074247999E-3</v>
      </c>
      <c r="EV21" s="5" t="s">
        <v>206</v>
      </c>
      <c r="EW21" t="s">
        <v>32</v>
      </c>
      <c r="EX21" s="18" t="s">
        <v>208</v>
      </c>
      <c r="EY21" s="18" t="s">
        <v>86</v>
      </c>
      <c r="EZ21" s="5" t="s">
        <v>1</v>
      </c>
      <c r="FA21" s="23" t="s">
        <v>89</v>
      </c>
      <c r="FB21" s="22"/>
      <c r="FC21" s="22"/>
      <c r="FD21" s="11"/>
      <c r="FE21" s="8">
        <v>0.68589575783303702</v>
      </c>
      <c r="FF21" s="9">
        <v>4.6047714297627103</v>
      </c>
      <c r="FG21" s="9">
        <v>9.6141611862579595</v>
      </c>
      <c r="FH21" s="9">
        <v>9.7737851967167497</v>
      </c>
      <c r="FI21" s="9">
        <v>9.8589566513012006</v>
      </c>
      <c r="FJ21" s="10">
        <v>10.035242081351999</v>
      </c>
      <c r="FK21" s="14"/>
      <c r="FL21" s="3">
        <v>2630.23</v>
      </c>
      <c r="FM21" s="5">
        <v>1000</v>
      </c>
      <c r="FN21" s="5" t="str">
        <f t="shared" si="3"/>
        <v>Q1000</v>
      </c>
      <c r="FO21" s="5">
        <v>8045</v>
      </c>
      <c r="FP21" s="5">
        <v>8045</v>
      </c>
      <c r="FQ21" s="5">
        <v>25</v>
      </c>
      <c r="FR21" s="5" t="str">
        <f t="shared" si="32"/>
        <v>Q25</v>
      </c>
      <c r="FS21" s="68" t="s">
        <v>18</v>
      </c>
      <c r="FT21" s="5"/>
      <c r="FU21" s="5" t="str">
        <f t="shared" si="4"/>
        <v>---</v>
      </c>
      <c r="FV21" s="5">
        <v>25</v>
      </c>
      <c r="FW21" s="5" t="str">
        <f t="shared" si="4"/>
        <v>Q25</v>
      </c>
      <c r="FX21" s="5">
        <v>0.04</v>
      </c>
      <c r="FY21" s="4">
        <v>3.0586678731517698</v>
      </c>
      <c r="FZ21" s="5">
        <v>3.0586678731517698</v>
      </c>
      <c r="GA21" s="4">
        <f t="shared" si="5"/>
        <v>3.0586678731517698</v>
      </c>
      <c r="GC21" t="s">
        <v>18</v>
      </c>
      <c r="GD21">
        <v>122.358003507837</v>
      </c>
      <c r="GE21">
        <v>181.29759240578599</v>
      </c>
      <c r="GF21">
        <v>248.24423766650801</v>
      </c>
      <c r="GG21">
        <v>274.155806193378</v>
      </c>
      <c r="GH21">
        <v>316.33571836035998</v>
      </c>
      <c r="GI21">
        <v>381.563865284104</v>
      </c>
      <c r="GJ21" s="19"/>
      <c r="GK21" s="14"/>
      <c r="GL21" s="15">
        <v>5.1159406074247999E-3</v>
      </c>
      <c r="GM21">
        <v>420.09324898966798</v>
      </c>
      <c r="GN21">
        <v>741.36331287751</v>
      </c>
      <c r="GO21">
        <v>1478.4633083460201</v>
      </c>
      <c r="GP21">
        <v>83.414529796433897</v>
      </c>
      <c r="GQ21">
        <v>96.2086429888341</v>
      </c>
      <c r="GR21">
        <v>88.125409238836497</v>
      </c>
      <c r="GS21">
        <v>92.445148248270797</v>
      </c>
      <c r="GT21">
        <v>100.505626244686</v>
      </c>
      <c r="GU21">
        <v>116.651264913296</v>
      </c>
      <c r="GV21" s="14"/>
      <c r="GW21" s="14"/>
      <c r="HA21">
        <v>1</v>
      </c>
      <c r="HC21" t="str">
        <f t="shared" si="29"/>
        <v/>
      </c>
      <c r="HD21">
        <v>1</v>
      </c>
      <c r="HF21">
        <f t="shared" si="30"/>
        <v>1</v>
      </c>
      <c r="HG21">
        <f t="shared" si="31"/>
        <v>1</v>
      </c>
      <c r="HH21" t="str">
        <f t="shared" si="6"/>
        <v/>
      </c>
    </row>
    <row r="22" spans="1:247" x14ac:dyDescent="0.3">
      <c r="A22" s="128" t="s">
        <v>85</v>
      </c>
      <c r="B22" s="3">
        <v>68.73</v>
      </c>
      <c r="C22" s="3"/>
      <c r="D22" s="3"/>
      <c r="E22" s="3"/>
      <c r="F22" s="3"/>
      <c r="G22" s="3"/>
      <c r="H22" s="3"/>
      <c r="I22" s="3"/>
      <c r="J22" s="3"/>
      <c r="K22" s="3"/>
      <c r="L22" s="3"/>
      <c r="M22" s="3">
        <v>0</v>
      </c>
      <c r="N22" s="3">
        <v>0</v>
      </c>
      <c r="O22" s="3">
        <v>0</v>
      </c>
      <c r="P22" s="3">
        <v>0</v>
      </c>
      <c r="Q22" s="3">
        <v>0</v>
      </c>
      <c r="R22" s="3">
        <v>0</v>
      </c>
      <c r="S22" s="3"/>
      <c r="T22" s="3">
        <v>9</v>
      </c>
      <c r="U22" s="3" t="s">
        <v>128</v>
      </c>
      <c r="V22" s="3" t="s">
        <v>85</v>
      </c>
      <c r="W22" s="3">
        <v>1279.04</v>
      </c>
      <c r="X22" s="3">
        <f t="shared" si="11"/>
        <v>0.15826194273906699</v>
      </c>
      <c r="Y22" s="3">
        <v>0</v>
      </c>
      <c r="Z22" s="3">
        <f t="shared" si="12"/>
        <v>0</v>
      </c>
      <c r="AA22" s="3">
        <f t="shared" si="0"/>
        <v>0.15826194273906699</v>
      </c>
      <c r="AB22" s="3">
        <v>8.3000000000000007</v>
      </c>
      <c r="AC22" s="3">
        <v>1527.02</v>
      </c>
      <c r="AD22" s="3">
        <f t="shared" si="13"/>
        <v>0.1889457341454607</v>
      </c>
      <c r="AE22" s="3">
        <v>0</v>
      </c>
      <c r="AF22" s="3">
        <f t="shared" si="14"/>
        <v>0</v>
      </c>
      <c r="AG22" s="3">
        <v>9344</v>
      </c>
      <c r="AH22" s="3" t="s">
        <v>123</v>
      </c>
      <c r="AI22" s="3">
        <v>8</v>
      </c>
      <c r="AJ22" s="3">
        <v>1.1699011325836199</v>
      </c>
      <c r="AK22" s="3">
        <v>485</v>
      </c>
      <c r="AL22" s="5">
        <v>16</v>
      </c>
      <c r="AM22" s="5" t="s">
        <v>95</v>
      </c>
      <c r="AN22" s="5" t="s">
        <v>86</v>
      </c>
      <c r="AO22" s="5">
        <v>5</v>
      </c>
      <c r="AP22" s="5">
        <v>0.48749999999999999</v>
      </c>
      <c r="AQ22" s="3" t="s">
        <v>89</v>
      </c>
      <c r="AR22" s="3" t="s">
        <v>85</v>
      </c>
      <c r="AS22" s="5" t="s">
        <v>1</v>
      </c>
      <c r="AT22" s="3" t="s">
        <v>126</v>
      </c>
      <c r="AU22" s="3" t="s">
        <v>81</v>
      </c>
      <c r="AV22" s="3"/>
      <c r="AW22" s="23" t="s">
        <v>89</v>
      </c>
      <c r="AX22" s="3" t="s">
        <v>129</v>
      </c>
      <c r="AY22" s="23">
        <v>1.24435579776764</v>
      </c>
      <c r="AZ22" s="23"/>
      <c r="BA22" s="59" t="str">
        <f t="shared" si="26"/>
        <v>HE</v>
      </c>
      <c r="BB22" s="23">
        <v>2.0544555187225302</v>
      </c>
      <c r="BC22" s="4">
        <f t="shared" si="27"/>
        <v>2.1</v>
      </c>
      <c r="BD22" s="23" t="b">
        <f t="shared" si="16"/>
        <v>1</v>
      </c>
      <c r="BE22" s="5" t="s">
        <v>82</v>
      </c>
      <c r="BF22" s="5" t="s">
        <v>82</v>
      </c>
      <c r="BG22" s="5">
        <v>466.8</v>
      </c>
      <c r="BH22" s="3">
        <v>6605.09</v>
      </c>
      <c r="BI22" s="3">
        <f t="shared" si="15"/>
        <v>0.81728044108580189</v>
      </c>
      <c r="BJ22" s="3">
        <v>706.79</v>
      </c>
      <c r="BK22" s="3">
        <f t="shared" si="33"/>
        <v>8.7454621050588849E-2</v>
      </c>
      <c r="BL22" s="56">
        <f t="shared" si="17"/>
        <v>0.90473506213639077</v>
      </c>
      <c r="BM22" s="3" t="s">
        <v>83</v>
      </c>
      <c r="BN22" s="3">
        <v>4.7210000000000001</v>
      </c>
      <c r="BO22" s="3">
        <v>2617.2600097999998</v>
      </c>
      <c r="BP22" s="3">
        <f t="shared" si="18"/>
        <v>2617.2600097999998</v>
      </c>
      <c r="BQ22" s="57">
        <f t="shared" si="19"/>
        <v>0.1619232603375256</v>
      </c>
      <c r="BR22" s="3">
        <v>1251.0899999999999</v>
      </c>
      <c r="BS22" s="3">
        <v>1366.17</v>
      </c>
      <c r="BT22" s="3">
        <v>4.4029999999999996</v>
      </c>
      <c r="BU22" s="3">
        <v>5.0130730000000003</v>
      </c>
      <c r="BV22" s="3" t="s">
        <v>87</v>
      </c>
      <c r="BW22" s="23" t="s">
        <v>89</v>
      </c>
      <c r="BX22" s="3">
        <v>7.0565982831369096</v>
      </c>
      <c r="BY22" s="170">
        <f t="shared" si="20"/>
        <v>7.1</v>
      </c>
      <c r="BZ22" s="170">
        <f t="shared" si="7"/>
        <v>0</v>
      </c>
      <c r="CA22" s="170">
        <f t="shared" si="8"/>
        <v>9.9999999999999645E-2</v>
      </c>
      <c r="CB22" s="170" t="str">
        <f t="shared" si="9"/>
        <v/>
      </c>
      <c r="CC22" s="170" t="str">
        <f t="shared" si="10"/>
        <v>7.1</v>
      </c>
      <c r="CD22" s="27"/>
      <c r="CE22" s="109" t="s">
        <v>9</v>
      </c>
      <c r="CF22" s="4">
        <v>45.6</v>
      </c>
      <c r="CG22" s="95">
        <v>277.75076189277098</v>
      </c>
      <c r="CH22" s="4">
        <f t="shared" si="1"/>
        <v>2.46333</v>
      </c>
      <c r="CI22" s="16">
        <v>5.4570025417987004E-3</v>
      </c>
      <c r="CJ22" s="7" t="str">
        <f t="shared" si="21"/>
        <v>BD (7.1)</v>
      </c>
      <c r="CK22" s="3" t="s">
        <v>129</v>
      </c>
      <c r="CL22" s="23">
        <v>1.24435579776764</v>
      </c>
      <c r="CM22" s="4">
        <v>2.1</v>
      </c>
      <c r="CN22" s="149">
        <v>0.90473506213639077</v>
      </c>
      <c r="CO22" s="145" t="str">
        <f t="shared" si="22"/>
        <v>Q25</v>
      </c>
      <c r="CP22" s="139" t="str">
        <f t="shared" si="23"/>
        <v>---</v>
      </c>
      <c r="CQ22" s="137">
        <v>0</v>
      </c>
      <c r="CR22" s="95">
        <v>0</v>
      </c>
      <c r="CS22" s="95">
        <v>18.164435946462699</v>
      </c>
      <c r="CT22" s="95">
        <v>29.786102552236201</v>
      </c>
      <c r="CU22" s="95">
        <v>29.786102552236201</v>
      </c>
      <c r="CV22" s="95">
        <v>29.786102552236201</v>
      </c>
      <c r="CW22" s="95">
        <v>6.1182573041770695E-2</v>
      </c>
      <c r="CX22" s="95">
        <v>8.6023137948958536E-2</v>
      </c>
      <c r="CY22" s="95">
        <v>0.3118656359981245</v>
      </c>
      <c r="CZ22" s="95">
        <v>0.53453025894293904</v>
      </c>
      <c r="DA22" s="95">
        <v>0.88571272836939419</v>
      </c>
      <c r="DB22" s="96">
        <v>2.2093094716115784</v>
      </c>
      <c r="DC22" s="3">
        <v>417.93043933819598</v>
      </c>
      <c r="DD22" s="3">
        <v>842.07954741109904</v>
      </c>
      <c r="DE22" s="3">
        <v>1706.69814944722</v>
      </c>
      <c r="DF22" s="3">
        <v>417.93043933819598</v>
      </c>
      <c r="DG22" s="3">
        <v>842.07954741109904</v>
      </c>
      <c r="DH22" s="3">
        <v>1706.69814944722</v>
      </c>
      <c r="DI22" s="92" t="str">
        <f t="shared" si="34"/>
        <v>Q500</v>
      </c>
      <c r="DJ22" s="95">
        <v>111.77243460577201</v>
      </c>
      <c r="DK22" s="95">
        <v>173.25797331627999</v>
      </c>
      <c r="DL22" s="95">
        <v>276.11438837474401</v>
      </c>
      <c r="DM22" s="95">
        <v>314.019141696227</v>
      </c>
      <c r="DN22" s="95">
        <v>359.35511785909</v>
      </c>
      <c r="DO22" s="96">
        <v>464.27733391985601</v>
      </c>
      <c r="DP22" t="b">
        <f t="shared" si="24"/>
        <v>1</v>
      </c>
      <c r="DQ22" t="s">
        <v>9</v>
      </c>
      <c r="DR22">
        <v>277.75076189277098</v>
      </c>
      <c r="DS22" s="86"/>
      <c r="DT22" s="86"/>
      <c r="DU22" s="86"/>
      <c r="DV22" s="86"/>
      <c r="DW22" s="86"/>
      <c r="DX22" s="86"/>
      <c r="DY22" s="86"/>
      <c r="DZ22" s="86"/>
      <c r="EA22" s="86"/>
      <c r="EB22" s="86"/>
      <c r="EC22" s="86"/>
      <c r="ED22" s="86"/>
      <c r="EE22" s="86"/>
      <c r="EF22" s="86"/>
      <c r="EG22" s="86"/>
      <c r="EH22" s="86"/>
      <c r="EI22" s="86"/>
      <c r="EJ22" s="86"/>
      <c r="EK22" s="86"/>
      <c r="EL22" s="86"/>
      <c r="EM22" s="163" t="s">
        <v>9</v>
      </c>
      <c r="EN22" s="92" t="str">
        <f t="shared" si="25"/>
        <v>Q25</v>
      </c>
      <c r="EO22" s="22" t="b">
        <f t="shared" si="2"/>
        <v>1</v>
      </c>
      <c r="EP22" s="79">
        <v>2.1</v>
      </c>
      <c r="EQ22" s="23">
        <v>1.24435579776764</v>
      </c>
      <c r="ER22" s="59" t="str">
        <f t="shared" si="28"/>
        <v>HE</v>
      </c>
      <c r="ES22" s="68" t="s">
        <v>9</v>
      </c>
      <c r="ET22" s="4">
        <v>2.46333</v>
      </c>
      <c r="EU22" s="16">
        <v>5.4570025417987004E-3</v>
      </c>
      <c r="EV22" s="5" t="s">
        <v>35</v>
      </c>
      <c r="EW22" s="74" t="s">
        <v>32</v>
      </c>
      <c r="EX22" s="77" t="s">
        <v>86</v>
      </c>
      <c r="EY22" s="77" t="s">
        <v>208</v>
      </c>
      <c r="EZ22" s="78" t="s">
        <v>1</v>
      </c>
      <c r="FA22" s="58" t="s">
        <v>89</v>
      </c>
      <c r="FB22" s="22"/>
      <c r="FC22" s="22"/>
      <c r="FD22" s="11"/>
      <c r="FE22" s="8">
        <v>0.72200388634097101</v>
      </c>
      <c r="FF22" s="9">
        <v>0.77522845027563703</v>
      </c>
      <c r="FG22" s="9">
        <v>1.0771571403674201</v>
      </c>
      <c r="FH22" s="9">
        <v>1.31444810149866</v>
      </c>
      <c r="FI22" s="9">
        <v>1.6737899819339099</v>
      </c>
      <c r="FJ22" s="10">
        <v>3.1011823418428301</v>
      </c>
      <c r="FK22" s="14"/>
      <c r="FL22" s="3">
        <v>2463.33</v>
      </c>
      <c r="FM22" s="5">
        <v>500</v>
      </c>
      <c r="FN22" s="5" t="str">
        <f t="shared" si="3"/>
        <v>Q500</v>
      </c>
      <c r="FO22" s="5">
        <v>114175</v>
      </c>
      <c r="FP22" s="5">
        <v>114175</v>
      </c>
      <c r="FQ22" s="5">
        <v>25</v>
      </c>
      <c r="FR22" s="5" t="str">
        <f t="shared" si="32"/>
        <v>Q25</v>
      </c>
      <c r="FS22" s="68" t="s">
        <v>9</v>
      </c>
      <c r="FT22" s="5">
        <v>25</v>
      </c>
      <c r="FU22" s="5" t="str">
        <f t="shared" si="4"/>
        <v>Q25</v>
      </c>
      <c r="FV22" s="5"/>
      <c r="FW22" s="5" t="str">
        <f t="shared" si="4"/>
        <v>---</v>
      </c>
      <c r="FX22" s="5">
        <v>0.04</v>
      </c>
      <c r="FY22" s="4">
        <v>46.349859742706002</v>
      </c>
      <c r="FZ22" s="5">
        <v>46.349859742706002</v>
      </c>
      <c r="GA22" s="4">
        <f t="shared" si="5"/>
        <v>46.349859742706002</v>
      </c>
      <c r="GC22" t="s">
        <v>9</v>
      </c>
      <c r="GD22">
        <v>111.77243460577201</v>
      </c>
      <c r="GE22">
        <v>173.25797331627999</v>
      </c>
      <c r="GF22">
        <v>276.11438837474401</v>
      </c>
      <c r="GG22">
        <v>314.019141696227</v>
      </c>
      <c r="GH22">
        <v>359.35511785909</v>
      </c>
      <c r="GI22">
        <v>464.27733391985601</v>
      </c>
      <c r="GJ22" s="19"/>
      <c r="GK22" s="14"/>
      <c r="GL22" s="15">
        <v>5.4570025417987004E-3</v>
      </c>
      <c r="GM22">
        <v>417.93043933819598</v>
      </c>
      <c r="GN22">
        <v>842.07954741109904</v>
      </c>
      <c r="GO22">
        <v>1706.69814944722</v>
      </c>
      <c r="GP22">
        <v>85.373729471910593</v>
      </c>
      <c r="GQ22">
        <v>116.835674741337</v>
      </c>
      <c r="GR22">
        <v>129.122806843653</v>
      </c>
      <c r="GS22">
        <v>134.23663249603101</v>
      </c>
      <c r="GT22">
        <v>145.77388826949601</v>
      </c>
      <c r="GU22">
        <v>178.13580074195499</v>
      </c>
      <c r="GV22" s="14"/>
      <c r="GW22" s="14"/>
      <c r="GY22" s="86"/>
      <c r="HC22" t="str">
        <f t="shared" si="29"/>
        <v/>
      </c>
      <c r="HD22">
        <v>1</v>
      </c>
      <c r="HF22">
        <f t="shared" si="30"/>
        <v>1</v>
      </c>
      <c r="HG22">
        <f t="shared" si="31"/>
        <v>1</v>
      </c>
      <c r="HH22" t="str">
        <f t="shared" si="6"/>
        <v>Entrenched</v>
      </c>
    </row>
    <row r="23" spans="1:247" x14ac:dyDescent="0.3">
      <c r="A23" s="129" t="s">
        <v>85</v>
      </c>
      <c r="B23" s="33">
        <v>61.99</v>
      </c>
      <c r="C23" s="33"/>
      <c r="D23" s="33"/>
      <c r="E23" s="33"/>
      <c r="F23" s="33"/>
      <c r="G23" s="33"/>
      <c r="H23" s="33"/>
      <c r="I23" s="33"/>
      <c r="J23" s="33"/>
      <c r="K23" s="33"/>
      <c r="L23" s="33"/>
      <c r="M23" s="33">
        <v>0</v>
      </c>
      <c r="N23" s="33">
        <v>0</v>
      </c>
      <c r="O23" s="33">
        <v>0</v>
      </c>
      <c r="P23" s="33">
        <v>0</v>
      </c>
      <c r="Q23" s="33">
        <v>0</v>
      </c>
      <c r="R23" s="33">
        <v>0</v>
      </c>
      <c r="S23" s="33"/>
      <c r="T23" s="33">
        <v>15</v>
      </c>
      <c r="U23" s="33" t="s">
        <v>161</v>
      </c>
      <c r="V23" s="33" t="s">
        <v>85</v>
      </c>
      <c r="W23" s="33">
        <v>50.46</v>
      </c>
      <c r="X23" s="33">
        <f t="shared" si="11"/>
        <v>3.7630826464100924E-2</v>
      </c>
      <c r="Y23" s="33">
        <v>0</v>
      </c>
      <c r="Z23" s="33">
        <f t="shared" si="12"/>
        <v>0</v>
      </c>
      <c r="AA23" s="3">
        <f t="shared" si="0"/>
        <v>3.7630826464100924E-2</v>
      </c>
      <c r="AB23" s="33">
        <v>3.23</v>
      </c>
      <c r="AC23" s="33">
        <v>0</v>
      </c>
      <c r="AD23" s="33">
        <f t="shared" si="13"/>
        <v>0</v>
      </c>
      <c r="AE23" s="33">
        <v>0</v>
      </c>
      <c r="AF23" s="33">
        <f t="shared" si="14"/>
        <v>0</v>
      </c>
      <c r="AG23" s="33">
        <v>1312</v>
      </c>
      <c r="AH23" s="33" t="s">
        <v>123</v>
      </c>
      <c r="AI23" s="33">
        <v>8</v>
      </c>
      <c r="AJ23" s="33">
        <v>1.02288329601288</v>
      </c>
      <c r="AK23" s="33">
        <v>77.8</v>
      </c>
      <c r="AL23" s="32">
        <v>6</v>
      </c>
      <c r="AM23" s="32" t="s">
        <v>85</v>
      </c>
      <c r="AN23" s="32" t="s">
        <v>81</v>
      </c>
      <c r="AO23" s="32">
        <v>12</v>
      </c>
      <c r="AP23" s="32">
        <v>0.65</v>
      </c>
      <c r="AQ23" s="33" t="s">
        <v>93</v>
      </c>
      <c r="AR23" s="33" t="s">
        <v>85</v>
      </c>
      <c r="AS23" s="32" t="s">
        <v>5</v>
      </c>
      <c r="AT23" s="33" t="s">
        <v>120</v>
      </c>
      <c r="AU23" s="33" t="s">
        <v>86</v>
      </c>
      <c r="AV23" s="33" t="s">
        <v>86</v>
      </c>
      <c r="AW23" s="34" t="s">
        <v>93</v>
      </c>
      <c r="AX23" s="33" t="s">
        <v>121</v>
      </c>
      <c r="AY23" s="34">
        <v>1.0976864099502599</v>
      </c>
      <c r="AZ23" s="34"/>
      <c r="BA23" s="34" t="str">
        <f t="shared" si="26"/>
        <v>HE</v>
      </c>
      <c r="BB23" s="34">
        <v>1</v>
      </c>
      <c r="BC23" s="29">
        <f t="shared" si="27"/>
        <v>1</v>
      </c>
      <c r="BD23" s="34" t="b">
        <f t="shared" si="16"/>
        <v>0</v>
      </c>
      <c r="BE23" s="32" t="s">
        <v>99</v>
      </c>
      <c r="BF23" s="32" t="s">
        <v>99</v>
      </c>
      <c r="BG23" s="32">
        <v>77.8</v>
      </c>
      <c r="BH23" s="33">
        <v>1225.4100000000001</v>
      </c>
      <c r="BI23" s="33">
        <f t="shared" si="15"/>
        <v>0.91385634279377559</v>
      </c>
      <c r="BJ23" s="33">
        <v>0</v>
      </c>
      <c r="BK23" s="33">
        <f t="shared" si="33"/>
        <v>0</v>
      </c>
      <c r="BL23" s="54">
        <f t="shared" si="17"/>
        <v>0.91385634279377559</v>
      </c>
      <c r="BM23" s="33" t="s">
        <v>83</v>
      </c>
      <c r="BN23" s="33">
        <v>3</v>
      </c>
      <c r="BO23" s="33">
        <v>104.38999939999999</v>
      </c>
      <c r="BP23" s="33">
        <f t="shared" si="18"/>
        <v>104.38999939999999</v>
      </c>
      <c r="BQ23" s="55">
        <f t="shared" si="19"/>
        <v>3.8924712168143076E-2</v>
      </c>
      <c r="BR23" s="33">
        <v>104.39</v>
      </c>
      <c r="BS23" s="33">
        <v>0</v>
      </c>
      <c r="BT23" s="33">
        <v>3</v>
      </c>
      <c r="BU23" s="33">
        <v>0</v>
      </c>
      <c r="BV23" s="33" t="s">
        <v>94</v>
      </c>
      <c r="BW23" s="23" t="s">
        <v>93</v>
      </c>
      <c r="BX23" s="33">
        <v>1.2550411356670399</v>
      </c>
      <c r="BY23" s="170">
        <f t="shared" si="20"/>
        <v>1.3</v>
      </c>
      <c r="BZ23" s="170">
        <f t="shared" si="7"/>
        <v>0</v>
      </c>
      <c r="CA23" s="170">
        <f t="shared" si="8"/>
        <v>0.30000000000000004</v>
      </c>
      <c r="CB23" s="170" t="str">
        <f t="shared" si="9"/>
        <v/>
      </c>
      <c r="CC23" s="170" t="str">
        <f t="shared" si="10"/>
        <v>1.3</v>
      </c>
      <c r="CD23" s="27"/>
      <c r="CE23" s="109" t="s">
        <v>10</v>
      </c>
      <c r="CF23" s="4">
        <v>37.200000000000003</v>
      </c>
      <c r="CG23" s="95">
        <v>212.68455045564301</v>
      </c>
      <c r="CH23" s="4">
        <f t="shared" si="1"/>
        <v>0.40871300000000005</v>
      </c>
      <c r="CI23" s="16">
        <v>6.3506202510991002E-3</v>
      </c>
      <c r="CJ23" s="7" t="str">
        <f t="shared" si="21"/>
        <v>NC (1.3)</v>
      </c>
      <c r="CK23" s="3" t="s">
        <v>122</v>
      </c>
      <c r="CL23" s="99" t="s">
        <v>50</v>
      </c>
      <c r="CM23" s="97" t="s">
        <v>50</v>
      </c>
      <c r="CN23" s="149">
        <v>0.91385634279377559</v>
      </c>
      <c r="CO23" s="145" t="str">
        <f t="shared" si="22"/>
        <v>---</v>
      </c>
      <c r="CP23" s="139" t="str">
        <f t="shared" si="23"/>
        <v>---</v>
      </c>
      <c r="CQ23" s="137">
        <v>0</v>
      </c>
      <c r="CR23" s="95">
        <v>0</v>
      </c>
      <c r="CS23" s="95">
        <v>0</v>
      </c>
      <c r="CT23" s="95">
        <v>0</v>
      </c>
      <c r="CU23" s="95">
        <v>0</v>
      </c>
      <c r="CV23" s="95">
        <v>0</v>
      </c>
      <c r="CW23" s="95">
        <v>7.6103901291599968E-2</v>
      </c>
      <c r="CX23" s="95">
        <v>8.0474688402447675E-2</v>
      </c>
      <c r="CY23" s="95">
        <v>8.4629420965934496E-2</v>
      </c>
      <c r="CZ23" s="95">
        <v>8.659883724786023E-2</v>
      </c>
      <c r="DA23" s="95">
        <v>8.7424965613286332E-2</v>
      </c>
      <c r="DB23" s="96">
        <v>8.9650492588549166E-2</v>
      </c>
      <c r="DC23" s="3">
        <v>280.509283790815</v>
      </c>
      <c r="DD23" s="3">
        <v>538.702189490931</v>
      </c>
      <c r="DE23" s="3">
        <v>1078.41366808506</v>
      </c>
      <c r="DF23" s="3">
        <v>280.509283790815</v>
      </c>
      <c r="DG23" s="3">
        <v>538.702189490931</v>
      </c>
      <c r="DH23" s="3">
        <v>1078.41366808506</v>
      </c>
      <c r="DI23" s="92" t="str">
        <f t="shared" si="34"/>
        <v>Q25</v>
      </c>
      <c r="DJ23" s="95">
        <v>156.020772497541</v>
      </c>
      <c r="DK23" s="95">
        <v>223.45548405619201</v>
      </c>
      <c r="DL23" s="95">
        <v>360.39417428180798</v>
      </c>
      <c r="DM23" s="95">
        <v>426.26432218159198</v>
      </c>
      <c r="DN23" s="95">
        <v>495.83336310228901</v>
      </c>
      <c r="DO23" s="96">
        <v>696.07126111078196</v>
      </c>
      <c r="DP23" t="b">
        <f t="shared" si="24"/>
        <v>1</v>
      </c>
      <c r="DQ23" t="s">
        <v>10</v>
      </c>
      <c r="DR23">
        <v>212.68455045564301</v>
      </c>
      <c r="EM23" s="163" t="s">
        <v>10</v>
      </c>
      <c r="EN23" s="92" t="str">
        <f t="shared" si="25"/>
        <v>---</v>
      </c>
      <c r="EO23" s="22" t="b">
        <f t="shared" si="2"/>
        <v>0</v>
      </c>
      <c r="EP23" s="79"/>
      <c r="EQ23" s="23"/>
      <c r="ER23" s="59"/>
      <c r="ES23" s="68"/>
      <c r="ET23" s="4"/>
      <c r="EU23" s="16"/>
      <c r="EV23" s="5"/>
      <c r="EW23" s="74"/>
      <c r="EX23" s="77"/>
      <c r="EY23" s="77"/>
      <c r="EZ23" s="78"/>
      <c r="FA23" s="58"/>
      <c r="FB23" s="22"/>
      <c r="FC23" s="22"/>
      <c r="FD23" s="11"/>
      <c r="FE23" s="8">
        <v>0.30249783244929601</v>
      </c>
      <c r="FF23" s="9">
        <v>0.232694228437169</v>
      </c>
      <c r="FG23" s="9">
        <v>0.13964210305972399</v>
      </c>
      <c r="FH23" s="9">
        <v>9.5583713191647393E-2</v>
      </c>
      <c r="FI23" s="9">
        <v>4.3038807272779998E-2</v>
      </c>
      <c r="FJ23" s="10">
        <v>-0.139574902476406</v>
      </c>
      <c r="FK23" s="14"/>
      <c r="FL23" s="3">
        <v>408.71300000000002</v>
      </c>
      <c r="FM23" s="5">
        <v>25</v>
      </c>
      <c r="FN23" s="5" t="str">
        <f t="shared" si="3"/>
        <v>Q25</v>
      </c>
      <c r="FO23" s="5">
        <v>0</v>
      </c>
      <c r="FP23" s="5"/>
      <c r="FQ23" s="5"/>
      <c r="FR23" s="5"/>
      <c r="FS23" s="68" t="s">
        <v>10</v>
      </c>
      <c r="FT23" s="5"/>
      <c r="FU23" s="5" t="str">
        <f t="shared" si="4"/>
        <v>---</v>
      </c>
      <c r="FV23" s="5"/>
      <c r="FW23" s="5" t="str">
        <f t="shared" si="4"/>
        <v>---</v>
      </c>
      <c r="FX23" s="5"/>
      <c r="FY23" s="4">
        <v>0</v>
      </c>
      <c r="FZ23" s="5"/>
      <c r="GA23" s="4" t="str">
        <f t="shared" si="5"/>
        <v>na</v>
      </c>
      <c r="GC23" t="s">
        <v>10</v>
      </c>
      <c r="GD23">
        <v>156.020772497541</v>
      </c>
      <c r="GE23">
        <v>223.45548405619201</v>
      </c>
      <c r="GF23">
        <v>360.39417428180798</v>
      </c>
      <c r="GG23">
        <v>426.26432218159198</v>
      </c>
      <c r="GH23">
        <v>495.83336310228901</v>
      </c>
      <c r="GI23">
        <v>696.07126111078196</v>
      </c>
      <c r="GJ23" s="19"/>
      <c r="GK23" s="14"/>
      <c r="GL23" s="15">
        <v>6.3506202510991002E-3</v>
      </c>
      <c r="GM23">
        <v>280.509283790815</v>
      </c>
      <c r="GN23">
        <v>538.702189490931</v>
      </c>
      <c r="GO23">
        <v>1078.41366808506</v>
      </c>
      <c r="GP23">
        <v>107.366581914099</v>
      </c>
      <c r="GQ23">
        <v>147.60973097720199</v>
      </c>
      <c r="GR23">
        <v>223.579887276855</v>
      </c>
      <c r="GS23">
        <v>258.98006471584699</v>
      </c>
      <c r="GT23">
        <v>295.36161736842303</v>
      </c>
      <c r="GU23">
        <v>392.91491349381198</v>
      </c>
      <c r="GV23" s="14"/>
      <c r="GW23" s="14"/>
      <c r="HC23" t="str">
        <f t="shared" si="29"/>
        <v/>
      </c>
      <c r="HF23">
        <f t="shared" si="30"/>
        <v>0</v>
      </c>
      <c r="HG23" t="str">
        <f t="shared" si="31"/>
        <v/>
      </c>
      <c r="HH23" t="str">
        <f t="shared" si="6"/>
        <v/>
      </c>
    </row>
    <row r="24" spans="1:247" x14ac:dyDescent="0.3">
      <c r="A24" s="129" t="s">
        <v>85</v>
      </c>
      <c r="B24" s="33">
        <v>59.79</v>
      </c>
      <c r="C24" s="33"/>
      <c r="D24" s="33"/>
      <c r="E24" s="33"/>
      <c r="F24" s="33"/>
      <c r="G24" s="33"/>
      <c r="H24" s="33"/>
      <c r="I24" s="33"/>
      <c r="J24" s="33"/>
      <c r="K24" s="33"/>
      <c r="L24" s="33"/>
      <c r="M24" s="33">
        <v>0</v>
      </c>
      <c r="N24" s="33">
        <v>0</v>
      </c>
      <c r="O24" s="33">
        <v>0</v>
      </c>
      <c r="P24" s="33">
        <v>0</v>
      </c>
      <c r="Q24" s="33">
        <v>0</v>
      </c>
      <c r="R24" s="33">
        <v>0</v>
      </c>
      <c r="S24" s="33"/>
      <c r="T24" s="33">
        <v>17</v>
      </c>
      <c r="U24" s="33" t="s">
        <v>161</v>
      </c>
      <c r="V24" s="33" t="s">
        <v>161</v>
      </c>
      <c r="W24" s="33">
        <v>85.75</v>
      </c>
      <c r="X24" s="33">
        <f t="shared" si="11"/>
        <v>3.48741883561531E-2</v>
      </c>
      <c r="Y24" s="33">
        <v>45.05</v>
      </c>
      <c r="Z24" s="33">
        <f t="shared" si="12"/>
        <v>1.8321658139296759E-2</v>
      </c>
      <c r="AA24" s="3">
        <f t="shared" si="0"/>
        <v>5.319584649544986E-2</v>
      </c>
      <c r="AB24" s="33">
        <v>5.31</v>
      </c>
      <c r="AC24" s="33">
        <v>649.76</v>
      </c>
      <c r="AD24" s="33">
        <f t="shared" si="13"/>
        <v>0.26425484112296255</v>
      </c>
      <c r="AE24" s="33">
        <v>533.51</v>
      </c>
      <c r="AF24" s="33">
        <f t="shared" si="14"/>
        <v>0.21697642250602028</v>
      </c>
      <c r="AG24" s="33">
        <v>2459</v>
      </c>
      <c r="AH24" s="33" t="s">
        <v>123</v>
      </c>
      <c r="AI24" s="33">
        <v>12</v>
      </c>
      <c r="AJ24" s="33">
        <v>1.0526541471481301</v>
      </c>
      <c r="AK24" s="33">
        <v>75</v>
      </c>
      <c r="AL24" s="32">
        <v>12</v>
      </c>
      <c r="AM24" s="32" t="s">
        <v>85</v>
      </c>
      <c r="AN24" s="32" t="s">
        <v>86</v>
      </c>
      <c r="AO24" s="32">
        <v>14</v>
      </c>
      <c r="AP24" s="32">
        <v>0.6875</v>
      </c>
      <c r="AQ24" s="33" t="s">
        <v>93</v>
      </c>
      <c r="AR24" s="33" t="s">
        <v>85</v>
      </c>
      <c r="AS24" s="32" t="s">
        <v>5</v>
      </c>
      <c r="AT24" s="33" t="s">
        <v>120</v>
      </c>
      <c r="AU24" s="33" t="s">
        <v>86</v>
      </c>
      <c r="AV24" s="33" t="s">
        <v>86</v>
      </c>
      <c r="AW24" s="34" t="s">
        <v>93</v>
      </c>
      <c r="AX24" s="33" t="s">
        <v>130</v>
      </c>
      <c r="AY24" s="34">
        <v>1.20100498199463</v>
      </c>
      <c r="AZ24" s="34"/>
      <c r="BA24" s="34" t="str">
        <f t="shared" si="26"/>
        <v>HE</v>
      </c>
      <c r="BB24" s="34">
        <v>1</v>
      </c>
      <c r="BC24" s="29">
        <f t="shared" si="27"/>
        <v>1</v>
      </c>
      <c r="BD24" s="34" t="b">
        <f t="shared" si="16"/>
        <v>0</v>
      </c>
      <c r="BE24" s="32" t="s">
        <v>97</v>
      </c>
      <c r="BF24" s="32" t="s">
        <v>97</v>
      </c>
      <c r="BG24" s="32">
        <v>75</v>
      </c>
      <c r="BH24" s="33">
        <v>1066.6300000000001</v>
      </c>
      <c r="BI24" s="33">
        <f t="shared" si="15"/>
        <v>0.43379423354313218</v>
      </c>
      <c r="BJ24" s="33">
        <v>196.11</v>
      </c>
      <c r="BK24" s="33">
        <f t="shared" si="33"/>
        <v>7.9757167096503614E-2</v>
      </c>
      <c r="BL24" s="54">
        <f t="shared" si="17"/>
        <v>0.51355140063963578</v>
      </c>
      <c r="BM24" s="33" t="s">
        <v>83</v>
      </c>
      <c r="BN24" s="33">
        <v>8</v>
      </c>
      <c r="BO24" s="33">
        <v>148.36999510000001</v>
      </c>
      <c r="BP24" s="33">
        <f t="shared" si="18"/>
        <v>148.36999510000001</v>
      </c>
      <c r="BQ24" s="55">
        <f t="shared" si="19"/>
        <v>3.0170747262500949E-2</v>
      </c>
      <c r="BR24" s="33">
        <v>148.37</v>
      </c>
      <c r="BS24" s="33">
        <v>0</v>
      </c>
      <c r="BT24" s="33">
        <v>8</v>
      </c>
      <c r="BU24" s="33">
        <v>0</v>
      </c>
      <c r="BV24" s="33" t="s">
        <v>94</v>
      </c>
      <c r="BW24" s="23" t="s">
        <v>93</v>
      </c>
      <c r="BX24" s="33">
        <v>1.25439036628199</v>
      </c>
      <c r="BY24" s="170">
        <f t="shared" si="20"/>
        <v>1.3</v>
      </c>
      <c r="BZ24" s="170">
        <f t="shared" si="7"/>
        <v>0</v>
      </c>
      <c r="CA24" s="170">
        <f t="shared" si="8"/>
        <v>0.30000000000000004</v>
      </c>
      <c r="CB24" s="170" t="str">
        <f t="shared" si="9"/>
        <v/>
      </c>
      <c r="CC24" s="170" t="str">
        <f t="shared" si="10"/>
        <v>1.3</v>
      </c>
      <c r="CD24" s="27"/>
      <c r="CE24" s="109" t="s">
        <v>11</v>
      </c>
      <c r="CF24" s="4">
        <v>34.5</v>
      </c>
      <c r="CG24" s="95">
        <v>169.98112777681601</v>
      </c>
      <c r="CH24" s="4">
        <f t="shared" si="1"/>
        <v>0.74945399999999995</v>
      </c>
      <c r="CI24" s="16">
        <v>1.67200172246228E-2</v>
      </c>
      <c r="CJ24" s="7" t="str">
        <f t="shared" si="21"/>
        <v>NC (1.3)</v>
      </c>
      <c r="CK24" s="3" t="s">
        <v>122</v>
      </c>
      <c r="CL24" s="99" t="s">
        <v>50</v>
      </c>
      <c r="CM24" s="97" t="s">
        <v>50</v>
      </c>
      <c r="CN24" s="149">
        <v>0.51355140063963578</v>
      </c>
      <c r="CO24" s="145" t="str">
        <f t="shared" si="22"/>
        <v>---</v>
      </c>
      <c r="CP24" s="139" t="str">
        <f t="shared" si="23"/>
        <v>---</v>
      </c>
      <c r="CQ24" s="137">
        <v>0</v>
      </c>
      <c r="CR24" s="95">
        <v>0</v>
      </c>
      <c r="CS24" s="95">
        <v>0</v>
      </c>
      <c r="CT24" s="95">
        <v>0</v>
      </c>
      <c r="CU24" s="95">
        <v>0</v>
      </c>
      <c r="CV24" s="95">
        <v>0</v>
      </c>
      <c r="CW24" s="95">
        <v>1.0962977792624699E-2</v>
      </c>
      <c r="CX24" s="95">
        <v>1.0962977792624699E-2</v>
      </c>
      <c r="CY24" s="95">
        <v>1.1108939938890739E-2</v>
      </c>
      <c r="CZ24" s="95">
        <v>1.1217407249446998E-2</v>
      </c>
      <c r="DA24" s="95">
        <v>1.1271918521788021E-2</v>
      </c>
      <c r="DB24" s="96">
        <v>1.1271918521788021E-2</v>
      </c>
      <c r="DC24" s="3">
        <v>106.95383805228499</v>
      </c>
      <c r="DD24" s="3">
        <v>233.63374397186101</v>
      </c>
      <c r="DE24" s="3">
        <v>567.79366401263496</v>
      </c>
      <c r="DF24" s="3">
        <v>106.95383805228499</v>
      </c>
      <c r="DG24" s="3">
        <v>233.63374397186101</v>
      </c>
      <c r="DH24" s="3">
        <v>567.79366401263496</v>
      </c>
      <c r="DI24" s="92" t="str">
        <f t="shared" si="34"/>
        <v>Q2</v>
      </c>
      <c r="DJ24" s="95">
        <v>490.356167819988</v>
      </c>
      <c r="DK24" s="95">
        <v>678.32693604910696</v>
      </c>
      <c r="DL24" s="95">
        <v>1117.1244414376599</v>
      </c>
      <c r="DM24" s="95">
        <v>1362.4731516491299</v>
      </c>
      <c r="DN24" s="95">
        <v>1540.77911787582</v>
      </c>
      <c r="DO24" s="96">
        <v>2216.3372697228901</v>
      </c>
      <c r="DP24" t="b">
        <f t="shared" si="24"/>
        <v>1</v>
      </c>
      <c r="DQ24" t="s">
        <v>11</v>
      </c>
      <c r="DR24">
        <v>169.98112777681601</v>
      </c>
      <c r="EM24" s="163" t="s">
        <v>11</v>
      </c>
      <c r="EN24" s="92" t="str">
        <f t="shared" si="25"/>
        <v>---</v>
      </c>
      <c r="EO24" s="22" t="b">
        <f t="shared" si="2"/>
        <v>0</v>
      </c>
      <c r="EP24" s="79"/>
      <c r="EQ24" s="23"/>
      <c r="ER24" s="59"/>
      <c r="ES24" s="68"/>
      <c r="ET24" s="4"/>
      <c r="EU24" s="16"/>
      <c r="EV24" s="5"/>
      <c r="EW24" s="74"/>
      <c r="EX24" s="77"/>
      <c r="EY24" s="77"/>
      <c r="EZ24" s="78"/>
      <c r="FA24" s="58"/>
      <c r="FB24" s="22"/>
      <c r="FC24" s="22"/>
      <c r="FD24" s="11"/>
      <c r="FE24" s="8">
        <v>1.27132424629954</v>
      </c>
      <c r="FF24" s="9">
        <v>1.2892615806926699</v>
      </c>
      <c r="FG24" s="9">
        <v>1.3071715614842701</v>
      </c>
      <c r="FH24" s="9">
        <v>1.3152724374986899</v>
      </c>
      <c r="FI24" s="9">
        <v>1.3219915371051001</v>
      </c>
      <c r="FJ24" s="10">
        <v>1.34430170978341</v>
      </c>
      <c r="FK24" s="14"/>
      <c r="FL24" s="3">
        <v>749.45399999999995</v>
      </c>
      <c r="FM24" s="5">
        <v>2</v>
      </c>
      <c r="FN24" s="5" t="str">
        <f t="shared" si="3"/>
        <v>Q2</v>
      </c>
      <c r="FO24" s="5">
        <v>0</v>
      </c>
      <c r="FP24" s="5"/>
      <c r="FQ24" s="5"/>
      <c r="FR24" s="5"/>
      <c r="FS24" s="68" t="s">
        <v>11</v>
      </c>
      <c r="FT24" s="5"/>
      <c r="FU24" s="5" t="str">
        <f t="shared" si="4"/>
        <v>---</v>
      </c>
      <c r="FV24" s="5"/>
      <c r="FW24" s="5" t="str">
        <f t="shared" si="4"/>
        <v>---</v>
      </c>
      <c r="FX24" s="5"/>
      <c r="FY24" s="4">
        <v>0</v>
      </c>
      <c r="FZ24" s="5"/>
      <c r="GA24" s="4" t="str">
        <f t="shared" si="5"/>
        <v>na</v>
      </c>
      <c r="GC24" t="s">
        <v>11</v>
      </c>
      <c r="GD24">
        <v>490.356167819988</v>
      </c>
      <c r="GE24">
        <v>678.32693604910696</v>
      </c>
      <c r="GF24">
        <v>1117.1244414376599</v>
      </c>
      <c r="GG24">
        <v>1362.4731516491299</v>
      </c>
      <c r="GH24">
        <v>1540.77911787582</v>
      </c>
      <c r="GI24">
        <v>2216.3372697228901</v>
      </c>
      <c r="GJ24" s="19"/>
      <c r="GK24" s="14"/>
      <c r="GL24" s="15">
        <v>1.67200172246228E-2</v>
      </c>
      <c r="GM24">
        <v>106.95383805228499</v>
      </c>
      <c r="GN24">
        <v>233.63374397186101</v>
      </c>
      <c r="GO24">
        <v>567.79366401263496</v>
      </c>
      <c r="GP24">
        <v>413.10781445649201</v>
      </c>
      <c r="GQ24">
        <v>555.546211344575</v>
      </c>
      <c r="GR24">
        <v>853.75136650157003</v>
      </c>
      <c r="GS24">
        <v>1009.77400945973</v>
      </c>
      <c r="GT24">
        <v>1120.8257369299399</v>
      </c>
      <c r="GU24">
        <v>1522.7835506854101</v>
      </c>
      <c r="GV24" s="14"/>
      <c r="GW24" s="14"/>
      <c r="HC24" t="str">
        <f t="shared" si="29"/>
        <v/>
      </c>
      <c r="HF24">
        <f t="shared" si="30"/>
        <v>0</v>
      </c>
      <c r="HG24" t="str">
        <f t="shared" si="31"/>
        <v/>
      </c>
      <c r="HH24" t="str">
        <f t="shared" si="6"/>
        <v/>
      </c>
    </row>
    <row r="25" spans="1:247" x14ac:dyDescent="0.3">
      <c r="A25" s="128" t="s">
        <v>85</v>
      </c>
      <c r="B25" s="3">
        <v>53.5</v>
      </c>
      <c r="C25" s="3"/>
      <c r="D25" s="3"/>
      <c r="E25" s="3"/>
      <c r="F25" s="3"/>
      <c r="G25" s="3"/>
      <c r="H25" s="3"/>
      <c r="I25" s="3"/>
      <c r="J25" s="3"/>
      <c r="K25" s="3"/>
      <c r="L25" s="3"/>
      <c r="M25" s="3">
        <v>0</v>
      </c>
      <c r="N25" s="3">
        <v>0</v>
      </c>
      <c r="O25" s="3">
        <v>0</v>
      </c>
      <c r="P25" s="3">
        <v>0</v>
      </c>
      <c r="Q25" s="3">
        <v>0</v>
      </c>
      <c r="R25" s="3">
        <v>0</v>
      </c>
      <c r="S25" s="3"/>
      <c r="T25" s="3">
        <v>14</v>
      </c>
      <c r="U25" s="3" t="s">
        <v>161</v>
      </c>
      <c r="V25" s="3" t="s">
        <v>128</v>
      </c>
      <c r="W25" s="3">
        <v>619.67999999999995</v>
      </c>
      <c r="X25" s="3">
        <f t="shared" si="11"/>
        <v>0.29589887174776436</v>
      </c>
      <c r="Y25" s="3">
        <v>334.06</v>
      </c>
      <c r="Z25" s="3">
        <f t="shared" si="12"/>
        <v>0.15951455121362346</v>
      </c>
      <c r="AA25" s="3">
        <f t="shared" si="0"/>
        <v>0.45541342296138781</v>
      </c>
      <c r="AB25" s="3">
        <v>6.37</v>
      </c>
      <c r="AC25" s="3">
        <v>899.34</v>
      </c>
      <c r="AD25" s="3">
        <f t="shared" si="13"/>
        <v>0.42943727620325722</v>
      </c>
      <c r="AE25" s="3">
        <v>142.36000000000001</v>
      </c>
      <c r="AF25" s="3">
        <f t="shared" si="14"/>
        <v>6.7977284053078596E-2</v>
      </c>
      <c r="AG25" s="3">
        <v>2093</v>
      </c>
      <c r="AH25" s="3" t="s">
        <v>123</v>
      </c>
      <c r="AI25" s="3">
        <v>9</v>
      </c>
      <c r="AJ25" s="3">
        <v>1.03379154205322</v>
      </c>
      <c r="AK25" s="3">
        <v>215</v>
      </c>
      <c r="AL25" s="5">
        <v>24</v>
      </c>
      <c r="AM25" s="5" t="s">
        <v>95</v>
      </c>
      <c r="AN25" s="5" t="s">
        <v>86</v>
      </c>
      <c r="AO25" s="5">
        <v>5</v>
      </c>
      <c r="AP25" s="5">
        <v>0.5</v>
      </c>
      <c r="AQ25" s="3" t="s">
        <v>88</v>
      </c>
      <c r="AR25" s="3" t="s">
        <v>85</v>
      </c>
      <c r="AS25" s="5" t="s">
        <v>1</v>
      </c>
      <c r="AT25" s="3" t="s">
        <v>120</v>
      </c>
      <c r="AU25" s="3" t="s">
        <v>81</v>
      </c>
      <c r="AV25" s="3"/>
      <c r="AW25" s="23" t="s">
        <v>88</v>
      </c>
      <c r="AX25" s="3" t="s">
        <v>130</v>
      </c>
      <c r="AY25" s="23">
        <v>1.2133550643920901</v>
      </c>
      <c r="AZ25" s="23"/>
      <c r="BA25" s="59" t="str">
        <f t="shared" si="26"/>
        <v>HE</v>
      </c>
      <c r="BB25" s="23">
        <v>2.0094635486602801</v>
      </c>
      <c r="BC25" s="4">
        <f t="shared" si="27"/>
        <v>2</v>
      </c>
      <c r="BD25" s="23" t="b">
        <f t="shared" si="16"/>
        <v>1</v>
      </c>
      <c r="BE25" s="5" t="s">
        <v>90</v>
      </c>
      <c r="BF25" s="5" t="s">
        <v>82</v>
      </c>
      <c r="BG25" s="5">
        <v>235</v>
      </c>
      <c r="BH25" s="3">
        <v>656.34</v>
      </c>
      <c r="BI25" s="3">
        <f t="shared" si="15"/>
        <v>0.31340412064763701</v>
      </c>
      <c r="BJ25" s="3">
        <v>1434.13</v>
      </c>
      <c r="BK25" s="3">
        <f t="shared" si="33"/>
        <v>0.68480094393819613</v>
      </c>
      <c r="BL25" s="56">
        <f t="shared" si="17"/>
        <v>0.99820506458583314</v>
      </c>
      <c r="BM25" s="3" t="s">
        <v>83</v>
      </c>
      <c r="BN25" s="3">
        <v>5.7779999999999996</v>
      </c>
      <c r="BO25" s="3">
        <v>370.30001829999998</v>
      </c>
      <c r="BP25" s="3">
        <f t="shared" si="18"/>
        <v>370.30001829999998</v>
      </c>
      <c r="BQ25" s="57">
        <f t="shared" si="19"/>
        <v>8.840962885936815E-2</v>
      </c>
      <c r="BR25" s="3">
        <v>0</v>
      </c>
      <c r="BS25" s="3">
        <v>0</v>
      </c>
      <c r="BT25" s="3">
        <v>0</v>
      </c>
      <c r="BU25" s="3">
        <v>0</v>
      </c>
      <c r="BV25" s="3" t="s">
        <v>87</v>
      </c>
      <c r="BW25" s="23" t="s">
        <v>88</v>
      </c>
      <c r="BX25" s="3">
        <v>4.0186915887850496</v>
      </c>
      <c r="BY25" s="170">
        <f t="shared" si="20"/>
        <v>4</v>
      </c>
      <c r="BZ25" s="170">
        <f t="shared" si="7"/>
        <v>0</v>
      </c>
      <c r="CA25" s="170">
        <f t="shared" si="8"/>
        <v>0</v>
      </c>
      <c r="CB25" s="170" t="str">
        <f t="shared" si="9"/>
        <v>.0</v>
      </c>
      <c r="CC25" s="170" t="str">
        <f t="shared" si="10"/>
        <v>4.0</v>
      </c>
      <c r="CD25" s="27"/>
      <c r="CE25" s="109" t="s">
        <v>6</v>
      </c>
      <c r="CF25" s="4">
        <v>27.6</v>
      </c>
      <c r="CG25" s="95">
        <v>128</v>
      </c>
      <c r="CH25" s="4">
        <f t="shared" si="1"/>
        <v>0.63832100000000003</v>
      </c>
      <c r="CI25" s="16">
        <v>9.7990091663568996E-3</v>
      </c>
      <c r="CJ25" s="7" t="str">
        <f t="shared" si="21"/>
        <v>NW (4.0)</v>
      </c>
      <c r="CK25" s="3" t="s">
        <v>129</v>
      </c>
      <c r="CL25" s="23">
        <v>1.2133550643920901</v>
      </c>
      <c r="CM25" s="4">
        <v>2</v>
      </c>
      <c r="CN25" s="149">
        <v>0.99820506458583314</v>
      </c>
      <c r="CO25" s="145" t="str">
        <f t="shared" si="22"/>
        <v>&gt;Q500</v>
      </c>
      <c r="CP25" s="139" t="str">
        <f t="shared" si="23"/>
        <v>---</v>
      </c>
      <c r="CQ25" s="137">
        <v>0</v>
      </c>
      <c r="CR25" s="95">
        <v>0</v>
      </c>
      <c r="CS25" s="95">
        <v>0</v>
      </c>
      <c r="CT25" s="95">
        <v>0</v>
      </c>
      <c r="CU25" s="95">
        <v>0</v>
      </c>
      <c r="CV25" s="95">
        <v>0</v>
      </c>
      <c r="CW25" s="95">
        <v>7.1219668082933511E-3</v>
      </c>
      <c r="CX25" s="95">
        <v>7.7983764150648654E-3</v>
      </c>
      <c r="CY25" s="95">
        <v>1.1319645002578687E-2</v>
      </c>
      <c r="CZ25" s="95">
        <v>2.2635096510098523E-2</v>
      </c>
      <c r="DA25" s="95">
        <v>5.121418910455993E-2</v>
      </c>
      <c r="DB25" s="96">
        <v>0.34265201639378934</v>
      </c>
      <c r="DC25" s="3">
        <v>117.042985944234</v>
      </c>
      <c r="DD25" s="3">
        <v>206.86279384199099</v>
      </c>
      <c r="DE25" s="3">
        <v>365.60645364919901</v>
      </c>
      <c r="DF25" s="3">
        <v>117.042985944234</v>
      </c>
      <c r="DG25" s="3">
        <v>206.86279384199099</v>
      </c>
      <c r="DH25" s="3">
        <v>365.60645364919901</v>
      </c>
      <c r="DI25" s="92" t="str">
        <f t="shared" si="34"/>
        <v>Q2</v>
      </c>
      <c r="DJ25" s="95">
        <v>195.80510215713699</v>
      </c>
      <c r="DK25" s="95">
        <v>309.36498233083699</v>
      </c>
      <c r="DL25" s="95">
        <v>483.99247188426398</v>
      </c>
      <c r="DM25" s="95">
        <v>550.601101656938</v>
      </c>
      <c r="DN25" s="95">
        <v>656.35487213265503</v>
      </c>
      <c r="DO25" s="96">
        <v>881.47857613975702</v>
      </c>
      <c r="DP25" t="b">
        <f t="shared" si="24"/>
        <v>1</v>
      </c>
      <c r="DQ25" t="s">
        <v>6</v>
      </c>
      <c r="DR25">
        <v>128</v>
      </c>
      <c r="EM25" s="163" t="s">
        <v>6</v>
      </c>
      <c r="EN25" s="92" t="str">
        <f t="shared" si="25"/>
        <v>&gt;Q500</v>
      </c>
      <c r="EO25" s="22" t="b">
        <f t="shared" si="2"/>
        <v>1</v>
      </c>
      <c r="EP25" s="79">
        <v>2</v>
      </c>
      <c r="EQ25" s="23">
        <v>1.2133550643920901</v>
      </c>
      <c r="ER25" s="59" t="str">
        <f t="shared" si="28"/>
        <v>HE</v>
      </c>
      <c r="ES25" s="68" t="s">
        <v>6</v>
      </c>
      <c r="ET25" s="4">
        <v>0.63832100000000003</v>
      </c>
      <c r="EU25" s="16">
        <v>9.7990091663568996E-3</v>
      </c>
      <c r="EV25" s="5" t="s">
        <v>30</v>
      </c>
      <c r="EW25" t="s">
        <v>206</v>
      </c>
      <c r="EX25" s="18" t="s">
        <v>208</v>
      </c>
      <c r="EY25" s="18" t="s">
        <v>208</v>
      </c>
      <c r="EZ25" s="5" t="s">
        <v>1</v>
      </c>
      <c r="FA25" s="23" t="s">
        <v>88</v>
      </c>
      <c r="FB25" s="22"/>
      <c r="FC25" s="22"/>
      <c r="FD25" s="11"/>
      <c r="FE25" s="8">
        <v>0.63860924836945498</v>
      </c>
      <c r="FF25" s="9">
        <v>0.66111094664250702</v>
      </c>
      <c r="FG25" s="9">
        <v>0.71227303218828697</v>
      </c>
      <c r="FH25" s="9">
        <v>0.75630933083055196</v>
      </c>
      <c r="FI25" s="9">
        <v>0.81400385558187005</v>
      </c>
      <c r="FJ25" s="10">
        <v>1.1731264769579699</v>
      </c>
      <c r="FK25" s="14"/>
      <c r="FL25" s="3">
        <v>638.32100000000003</v>
      </c>
      <c r="FM25" s="5">
        <v>2</v>
      </c>
      <c r="FN25" s="5" t="str">
        <f t="shared" si="3"/>
        <v>Q2</v>
      </c>
      <c r="FO25" s="5">
        <v>8260</v>
      </c>
      <c r="FP25" s="5">
        <v>8260</v>
      </c>
      <c r="FQ25" s="5">
        <v>1000</v>
      </c>
      <c r="FR25" s="5" t="str">
        <f>IF(ISBLANK(FQ25),"na",CONCATENATE("Q",FQ25))</f>
        <v>Q1000</v>
      </c>
      <c r="FS25" s="68" t="s">
        <v>6</v>
      </c>
      <c r="FT25" s="5">
        <v>1000</v>
      </c>
      <c r="FU25" s="5" t="str">
        <f t="shared" si="4"/>
        <v>&gt;Q500</v>
      </c>
      <c r="FV25" s="5"/>
      <c r="FW25" s="5" t="str">
        <f t="shared" si="4"/>
        <v>---</v>
      </c>
      <c r="FX25" s="5">
        <v>1E-3</v>
      </c>
      <c r="FY25" s="4">
        <v>12.940197800166301</v>
      </c>
      <c r="FZ25" s="5">
        <v>12.940197800166301</v>
      </c>
      <c r="GA25" s="4">
        <f t="shared" si="5"/>
        <v>12.940197800166301</v>
      </c>
      <c r="GC25" t="s">
        <v>6</v>
      </c>
      <c r="GD25">
        <v>195.80510215713699</v>
      </c>
      <c r="GE25">
        <v>309.36498233083699</v>
      </c>
      <c r="GF25">
        <v>483.99247188426398</v>
      </c>
      <c r="GG25">
        <v>550.601101656938</v>
      </c>
      <c r="GH25">
        <v>656.35487213265503</v>
      </c>
      <c r="GI25">
        <v>881.47857613975702</v>
      </c>
      <c r="GJ25" s="19"/>
      <c r="GK25" s="14"/>
      <c r="GL25" s="15">
        <v>9.7990091663568996E-3</v>
      </c>
      <c r="GM25">
        <v>117.042985944234</v>
      </c>
      <c r="GN25">
        <v>206.86279384199099</v>
      </c>
      <c r="GO25">
        <v>365.60645364919901</v>
      </c>
      <c r="GP25">
        <v>169.01125650380499</v>
      </c>
      <c r="GQ25">
        <v>245.95733496809001</v>
      </c>
      <c r="GR25">
        <v>309.22196667184397</v>
      </c>
      <c r="GS25">
        <v>332.53683951661401</v>
      </c>
      <c r="GT25">
        <v>368.26440952246401</v>
      </c>
      <c r="GU25">
        <v>429.43540606708598</v>
      </c>
      <c r="GV25" s="14"/>
      <c r="GW25" s="14"/>
      <c r="HB25">
        <v>1</v>
      </c>
      <c r="HC25">
        <f t="shared" si="29"/>
        <v>1</v>
      </c>
      <c r="HE25">
        <v>1</v>
      </c>
      <c r="HF25">
        <f t="shared" si="30"/>
        <v>1</v>
      </c>
      <c r="HG25" t="str">
        <f t="shared" si="31"/>
        <v/>
      </c>
      <c r="HH25" t="str">
        <f t="shared" si="6"/>
        <v>Entrenched</v>
      </c>
    </row>
    <row r="26" spans="1:247" x14ac:dyDescent="0.3">
      <c r="A26" s="128" t="s">
        <v>85</v>
      </c>
      <c r="B26" s="3">
        <v>53.5</v>
      </c>
      <c r="C26" s="3"/>
      <c r="D26" s="3"/>
      <c r="E26" s="3"/>
      <c r="F26" s="3"/>
      <c r="G26" s="3"/>
      <c r="H26" s="3"/>
      <c r="I26" s="3"/>
      <c r="J26" s="3"/>
      <c r="K26" s="3"/>
      <c r="L26" s="3"/>
      <c r="M26" s="3">
        <v>0</v>
      </c>
      <c r="N26" s="3">
        <v>0</v>
      </c>
      <c r="O26" s="3">
        <v>0</v>
      </c>
      <c r="P26" s="3">
        <v>0</v>
      </c>
      <c r="Q26" s="3">
        <v>0</v>
      </c>
      <c r="R26" s="3">
        <v>0</v>
      </c>
      <c r="S26" s="3"/>
      <c r="T26" s="3">
        <v>11</v>
      </c>
      <c r="U26" s="3" t="s">
        <v>161</v>
      </c>
      <c r="V26" s="3" t="s">
        <v>161</v>
      </c>
      <c r="W26" s="3">
        <v>290.20999999999998</v>
      </c>
      <c r="X26" s="3">
        <f t="shared" si="11"/>
        <v>0.19143214384146914</v>
      </c>
      <c r="Y26" s="3">
        <v>405.37</v>
      </c>
      <c r="Z26" s="3">
        <f t="shared" si="12"/>
        <v>0.2673955003239597</v>
      </c>
      <c r="AA26" s="3">
        <f t="shared" si="0"/>
        <v>0.45882764416542887</v>
      </c>
      <c r="AB26" s="3">
        <v>6.91</v>
      </c>
      <c r="AC26" s="3">
        <v>438.81</v>
      </c>
      <c r="AD26" s="3">
        <f t="shared" si="13"/>
        <v>0.28945363371033073</v>
      </c>
      <c r="AE26" s="3">
        <v>59.08</v>
      </c>
      <c r="AF26" s="3">
        <f t="shared" si="14"/>
        <v>3.8971128004389913E-2</v>
      </c>
      <c r="AG26" s="3">
        <v>1517</v>
      </c>
      <c r="AH26" s="3" t="s">
        <v>123</v>
      </c>
      <c r="AI26" s="3">
        <v>6</v>
      </c>
      <c r="AJ26" s="3">
        <v>1.03379154205322</v>
      </c>
      <c r="AK26" s="3">
        <v>215</v>
      </c>
      <c r="AL26" s="5">
        <v>24</v>
      </c>
      <c r="AM26" s="5" t="s">
        <v>95</v>
      </c>
      <c r="AN26" s="5" t="s">
        <v>86</v>
      </c>
      <c r="AO26" s="5">
        <v>5</v>
      </c>
      <c r="AP26" s="5">
        <v>0.45</v>
      </c>
      <c r="AQ26" s="3" t="s">
        <v>88</v>
      </c>
      <c r="AR26" s="3" t="s">
        <v>85</v>
      </c>
      <c r="AS26" s="5" t="s">
        <v>0</v>
      </c>
      <c r="AT26" s="3" t="s">
        <v>120</v>
      </c>
      <c r="AU26" s="3" t="s">
        <v>81</v>
      </c>
      <c r="AV26" s="3"/>
      <c r="AW26" s="23" t="s">
        <v>80</v>
      </c>
      <c r="AX26" s="3" t="s">
        <v>130</v>
      </c>
      <c r="AY26" s="23">
        <v>1.28837883472443</v>
      </c>
      <c r="AZ26" s="23"/>
      <c r="BA26" s="59" t="str">
        <f t="shared" si="26"/>
        <v>HE</v>
      </c>
      <c r="BB26" s="23">
        <v>2.8319671154022199</v>
      </c>
      <c r="BC26" s="4">
        <f t="shared" si="27"/>
        <v>2.8</v>
      </c>
      <c r="BD26" s="23" t="b">
        <f t="shared" si="16"/>
        <v>1</v>
      </c>
      <c r="BE26" s="5" t="s">
        <v>90</v>
      </c>
      <c r="BF26" s="5" t="s">
        <v>82</v>
      </c>
      <c r="BG26" s="5">
        <v>138</v>
      </c>
      <c r="BH26" s="3">
        <v>274.64</v>
      </c>
      <c r="BI26" s="3">
        <f t="shared" si="15"/>
        <v>0.18116165530002787</v>
      </c>
      <c r="BJ26" s="3">
        <v>1016.76</v>
      </c>
      <c r="BK26" s="3">
        <f t="shared" si="33"/>
        <v>0.6706886274499575</v>
      </c>
      <c r="BL26" s="56">
        <f t="shared" si="17"/>
        <v>0.85185028274998542</v>
      </c>
      <c r="BM26" s="3" t="s">
        <v>83</v>
      </c>
      <c r="BN26" s="3">
        <v>5.7779999999999996</v>
      </c>
      <c r="BO26" s="3">
        <v>370.30001829999998</v>
      </c>
      <c r="BP26" s="3">
        <f t="shared" si="18"/>
        <v>370.30001829999998</v>
      </c>
      <c r="BQ26" s="57">
        <f t="shared" si="19"/>
        <v>0.12213108846646266</v>
      </c>
      <c r="BR26" s="3">
        <v>370.3</v>
      </c>
      <c r="BS26" s="3">
        <v>0</v>
      </c>
      <c r="BT26" s="3">
        <v>5.7775319999999999</v>
      </c>
      <c r="BU26" s="3">
        <v>0</v>
      </c>
      <c r="BV26" s="3" t="s">
        <v>87</v>
      </c>
      <c r="BW26" s="23" t="s">
        <v>80</v>
      </c>
      <c r="BX26" s="3">
        <v>4.0186915887850496</v>
      </c>
      <c r="BY26" s="170">
        <f t="shared" si="20"/>
        <v>4</v>
      </c>
      <c r="BZ26" s="170">
        <f t="shared" si="7"/>
        <v>0</v>
      </c>
      <c r="CA26" s="170">
        <f t="shared" si="8"/>
        <v>0</v>
      </c>
      <c r="CB26" s="170" t="str">
        <f t="shared" si="9"/>
        <v>.0</v>
      </c>
      <c r="CC26" s="170" t="str">
        <f t="shared" si="10"/>
        <v>4.0</v>
      </c>
      <c r="CD26" s="27"/>
      <c r="CE26" s="109" t="s">
        <v>12</v>
      </c>
      <c r="CF26" s="4">
        <v>27</v>
      </c>
      <c r="CG26" s="95">
        <v>186.477420479231</v>
      </c>
      <c r="CH26" s="4">
        <f t="shared" si="1"/>
        <v>0.46207500000000001</v>
      </c>
      <c r="CI26" s="16">
        <v>1.00168588195909E-2</v>
      </c>
      <c r="CJ26" s="7" t="str">
        <f t="shared" si="21"/>
        <v>SC (4.0)</v>
      </c>
      <c r="CK26" s="3" t="s">
        <v>129</v>
      </c>
      <c r="CL26" s="23">
        <v>1.28837883472443</v>
      </c>
      <c r="CM26" s="4">
        <v>2.8</v>
      </c>
      <c r="CN26" s="149">
        <v>0.85185028274998542</v>
      </c>
      <c r="CO26" s="145" t="str">
        <f t="shared" si="22"/>
        <v>---</v>
      </c>
      <c r="CP26" s="139" t="str">
        <f t="shared" si="23"/>
        <v>---</v>
      </c>
      <c r="CQ26" s="137">
        <v>0</v>
      </c>
      <c r="CR26" s="95">
        <v>0</v>
      </c>
      <c r="CS26" s="95">
        <v>0</v>
      </c>
      <c r="CT26" s="95">
        <v>0</v>
      </c>
      <c r="CU26" s="95">
        <v>0</v>
      </c>
      <c r="CV26" s="95">
        <v>0</v>
      </c>
      <c r="CW26" s="95">
        <v>1.6951282090299193E-2</v>
      </c>
      <c r="CX26" s="95">
        <v>1.7010524134508726E-2</v>
      </c>
      <c r="CY26" s="95">
        <v>1.7010524134508726E-2</v>
      </c>
      <c r="CZ26" s="95">
        <v>2.35771897021925E-2</v>
      </c>
      <c r="DA26" s="95">
        <v>6.8292551030845861E-2</v>
      </c>
      <c r="DB26" s="96">
        <v>7.5922622519680141E-2</v>
      </c>
      <c r="DC26" s="3">
        <v>247.85238282421699</v>
      </c>
      <c r="DD26" s="3">
        <v>413.392982523059</v>
      </c>
      <c r="DE26" s="3">
        <v>689.44737777226601</v>
      </c>
      <c r="DF26" s="3">
        <v>247.85238282421699</v>
      </c>
      <c r="DG26" s="3">
        <v>413.392982523059</v>
      </c>
      <c r="DH26" s="3">
        <v>689.44737777226601</v>
      </c>
      <c r="DI26" s="92" t="str">
        <f t="shared" si="34"/>
        <v>Q5</v>
      </c>
      <c r="DJ26" s="95">
        <v>190.88595504555801</v>
      </c>
      <c r="DK26" s="95">
        <v>303.646583168061</v>
      </c>
      <c r="DL26" s="95">
        <v>470.55188580220403</v>
      </c>
      <c r="DM26" s="95">
        <v>577.87361741458699</v>
      </c>
      <c r="DN26" s="95">
        <v>672.45679334435999</v>
      </c>
      <c r="DO26" s="96">
        <v>945.95255906866203</v>
      </c>
      <c r="DP26" t="b">
        <f t="shared" si="24"/>
        <v>1</v>
      </c>
      <c r="DQ26" t="s">
        <v>12</v>
      </c>
      <c r="DR26">
        <v>186.477420479231</v>
      </c>
      <c r="EM26" s="163" t="s">
        <v>12</v>
      </c>
      <c r="EN26" s="92" t="str">
        <f t="shared" si="25"/>
        <v>---</v>
      </c>
      <c r="EO26" s="22" t="b">
        <f t="shared" si="2"/>
        <v>1</v>
      </c>
      <c r="EP26" s="79">
        <v>2.8</v>
      </c>
      <c r="EQ26" s="23">
        <v>1.28837883472443</v>
      </c>
      <c r="ER26" s="59" t="str">
        <f t="shared" si="28"/>
        <v>HE</v>
      </c>
      <c r="ES26" s="68" t="s">
        <v>12</v>
      </c>
      <c r="ET26" s="4">
        <v>0.46207500000000001</v>
      </c>
      <c r="EU26" s="16">
        <v>1.00168588195909E-2</v>
      </c>
      <c r="EV26" s="5" t="s">
        <v>31</v>
      </c>
      <c r="EW26" t="s">
        <v>50</v>
      </c>
      <c r="EX26" s="18" t="s">
        <v>208</v>
      </c>
      <c r="EY26" s="18" t="s">
        <v>208</v>
      </c>
      <c r="EZ26" s="5" t="s">
        <v>0</v>
      </c>
      <c r="FA26" s="59" t="s">
        <v>80</v>
      </c>
      <c r="FB26" s="22"/>
      <c r="FC26" s="22"/>
      <c r="FD26" s="11"/>
      <c r="FE26" s="8">
        <v>0.46906541431263299</v>
      </c>
      <c r="FF26" s="9">
        <v>0.443710021274968</v>
      </c>
      <c r="FG26" s="9">
        <v>0.39931814134792498</v>
      </c>
      <c r="FH26" s="9">
        <v>0.38503037531996298</v>
      </c>
      <c r="FI26" s="9">
        <v>0.43959667491857102</v>
      </c>
      <c r="FJ26" s="10">
        <v>0.43703844362157701</v>
      </c>
      <c r="FK26" s="14"/>
      <c r="FL26" s="3">
        <v>462.07499999999999</v>
      </c>
      <c r="FM26" s="5">
        <v>5</v>
      </c>
      <c r="FN26" s="5" t="str">
        <f t="shared" si="3"/>
        <v>Q5</v>
      </c>
      <c r="FO26" s="5">
        <v>0</v>
      </c>
      <c r="FP26" s="5"/>
      <c r="FQ26" s="5"/>
      <c r="FR26" s="5"/>
      <c r="FS26" s="68" t="s">
        <v>12</v>
      </c>
      <c r="FT26" s="5"/>
      <c r="FU26" s="5" t="str">
        <f t="shared" si="4"/>
        <v>---</v>
      </c>
      <c r="FV26" s="5"/>
      <c r="FW26" s="5" t="str">
        <f t="shared" si="4"/>
        <v>---</v>
      </c>
      <c r="FX26" s="5"/>
      <c r="FY26" s="4">
        <v>0</v>
      </c>
      <c r="FZ26" s="5"/>
      <c r="GA26" s="4" t="str">
        <f t="shared" si="5"/>
        <v>na</v>
      </c>
      <c r="GC26" t="s">
        <v>12</v>
      </c>
      <c r="GD26">
        <v>190.88595504555801</v>
      </c>
      <c r="GE26">
        <v>303.646583168061</v>
      </c>
      <c r="GF26">
        <v>470.55188580220403</v>
      </c>
      <c r="GG26">
        <v>577.87361741458699</v>
      </c>
      <c r="GH26">
        <v>672.45679334435999</v>
      </c>
      <c r="GI26">
        <v>945.95255906866203</v>
      </c>
      <c r="GJ26" s="19"/>
      <c r="GK26" s="14"/>
      <c r="GL26" s="15">
        <v>1.00168588195909E-2</v>
      </c>
      <c r="GM26">
        <v>247.85238282421699</v>
      </c>
      <c r="GN26">
        <v>413.392982523059</v>
      </c>
      <c r="GO26">
        <v>689.44737777226601</v>
      </c>
      <c r="GP26">
        <v>162.38238942481999</v>
      </c>
      <c r="GQ26">
        <v>248.95890546577999</v>
      </c>
      <c r="GR26">
        <v>368.41686317630501</v>
      </c>
      <c r="GS26">
        <v>433.58977955778602</v>
      </c>
      <c r="GT26">
        <v>460.765652337007</v>
      </c>
      <c r="GU26">
        <v>592.81221505351198</v>
      </c>
      <c r="GV26" s="14"/>
      <c r="GW26" s="14"/>
      <c r="HB26">
        <v>1</v>
      </c>
      <c r="HC26">
        <f t="shared" si="29"/>
        <v>1</v>
      </c>
      <c r="HE26">
        <v>1</v>
      </c>
      <c r="HF26">
        <f t="shared" si="30"/>
        <v>1</v>
      </c>
      <c r="HG26" t="str">
        <f t="shared" si="31"/>
        <v/>
      </c>
      <c r="HH26" t="str">
        <f t="shared" si="6"/>
        <v>Entrenched</v>
      </c>
    </row>
    <row r="27" spans="1:247" x14ac:dyDescent="0.3">
      <c r="A27" s="128" t="s">
        <v>85</v>
      </c>
      <c r="B27" s="3">
        <v>52.75</v>
      </c>
      <c r="C27" s="3"/>
      <c r="D27" s="3"/>
      <c r="E27" s="3"/>
      <c r="F27" s="3"/>
      <c r="G27" s="3"/>
      <c r="H27" s="3"/>
      <c r="I27" s="3"/>
      <c r="J27" s="3"/>
      <c r="K27" s="3"/>
      <c r="L27" s="3"/>
      <c r="M27" s="3">
        <v>0</v>
      </c>
      <c r="N27" s="3">
        <v>0</v>
      </c>
      <c r="O27" s="3">
        <v>0</v>
      </c>
      <c r="P27" s="3">
        <v>0</v>
      </c>
      <c r="Q27" s="3">
        <v>0</v>
      </c>
      <c r="R27" s="3">
        <v>0</v>
      </c>
      <c r="S27" s="3">
        <v>5.0999999999999996</v>
      </c>
      <c r="T27" s="3">
        <v>16</v>
      </c>
      <c r="U27" s="3" t="s">
        <v>85</v>
      </c>
      <c r="V27" s="3" t="s">
        <v>164</v>
      </c>
      <c r="W27" s="3">
        <v>0</v>
      </c>
      <c r="X27" s="3">
        <f t="shared" si="11"/>
        <v>0</v>
      </c>
      <c r="Y27" s="3">
        <v>177.13</v>
      </c>
      <c r="Z27" s="3">
        <f t="shared" si="12"/>
        <v>4.7940563074790103E-2</v>
      </c>
      <c r="AA27" s="3">
        <f t="shared" si="0"/>
        <v>4.7940563074790103E-2</v>
      </c>
      <c r="AB27" s="3">
        <v>5.0999999999999996</v>
      </c>
      <c r="AC27" s="3">
        <v>0</v>
      </c>
      <c r="AD27" s="3">
        <f t="shared" si="13"/>
        <v>0</v>
      </c>
      <c r="AE27" s="3">
        <v>0</v>
      </c>
      <c r="AF27" s="3">
        <f t="shared" si="14"/>
        <v>0</v>
      </c>
      <c r="AG27" s="3">
        <v>3912</v>
      </c>
      <c r="AH27" s="3" t="s">
        <v>132</v>
      </c>
      <c r="AI27" s="3">
        <v>12</v>
      </c>
      <c r="AJ27" s="3">
        <v>1.0698925256729099</v>
      </c>
      <c r="AK27" s="3">
        <v>228</v>
      </c>
      <c r="AL27" s="5">
        <v>9</v>
      </c>
      <c r="AM27" s="5" t="s">
        <v>85</v>
      </c>
      <c r="AN27" s="5" t="s">
        <v>81</v>
      </c>
      <c r="AO27" s="5">
        <v>17</v>
      </c>
      <c r="AP27" s="5">
        <v>0.73750000000000004</v>
      </c>
      <c r="AQ27" s="3" t="s">
        <v>88</v>
      </c>
      <c r="AR27" s="3" t="s">
        <v>85</v>
      </c>
      <c r="AS27" s="5" t="s">
        <v>5</v>
      </c>
      <c r="AT27" s="3" t="s">
        <v>126</v>
      </c>
      <c r="AU27" s="3" t="s">
        <v>81</v>
      </c>
      <c r="AV27" s="3"/>
      <c r="AW27" s="23" t="s">
        <v>88</v>
      </c>
      <c r="AX27" s="3" t="s">
        <v>130</v>
      </c>
      <c r="AY27" s="23">
        <v>1.4666666984558101</v>
      </c>
      <c r="AZ27" s="23"/>
      <c r="BA27" s="58" t="str">
        <f t="shared" si="26"/>
        <v>ME</v>
      </c>
      <c r="BB27" s="23">
        <v>1</v>
      </c>
      <c r="BC27" s="4">
        <f t="shared" si="27"/>
        <v>1</v>
      </c>
      <c r="BD27" s="23" t="b">
        <f t="shared" si="16"/>
        <v>0</v>
      </c>
      <c r="BE27" s="5" t="s">
        <v>99</v>
      </c>
      <c r="BF27" s="5" t="s">
        <v>99</v>
      </c>
      <c r="BG27" s="5">
        <v>228</v>
      </c>
      <c r="BH27" s="3">
        <v>693.2</v>
      </c>
      <c r="BI27" s="3">
        <f t="shared" si="15"/>
        <v>0.18761586588067805</v>
      </c>
      <c r="BJ27" s="3">
        <v>0</v>
      </c>
      <c r="BK27" s="3">
        <f t="shared" si="33"/>
        <v>0</v>
      </c>
      <c r="BL27" s="56">
        <f t="shared" si="17"/>
        <v>0.18761586588067805</v>
      </c>
      <c r="BM27" s="3" t="s">
        <v>160</v>
      </c>
      <c r="BN27" s="3">
        <v>5.1470000000000002</v>
      </c>
      <c r="BO27" s="3">
        <v>1093.9300536999999</v>
      </c>
      <c r="BP27" s="3">
        <f t="shared" si="18"/>
        <v>208.05</v>
      </c>
      <c r="BQ27" s="57">
        <f t="shared" si="19"/>
        <v>2.8154559215576361E-2</v>
      </c>
      <c r="BR27" s="3">
        <v>75.47</v>
      </c>
      <c r="BS27" s="3">
        <v>132.58000000000001</v>
      </c>
      <c r="BT27" s="3">
        <v>5</v>
      </c>
      <c r="BU27" s="3">
        <v>9</v>
      </c>
      <c r="BV27" s="3" t="s">
        <v>92</v>
      </c>
      <c r="BW27" s="23" t="s">
        <v>88</v>
      </c>
      <c r="BX27" s="3">
        <v>4.3222748815165897</v>
      </c>
      <c r="BY27" s="170">
        <f t="shared" si="20"/>
        <v>4.3</v>
      </c>
      <c r="BZ27" s="170">
        <f t="shared" si="7"/>
        <v>0</v>
      </c>
      <c r="CA27" s="170">
        <f t="shared" si="8"/>
        <v>0.29999999999999982</v>
      </c>
      <c r="CB27" s="170" t="str">
        <f t="shared" si="9"/>
        <v/>
      </c>
      <c r="CC27" s="170" t="str">
        <f t="shared" si="10"/>
        <v>4.3</v>
      </c>
      <c r="CD27" s="27"/>
      <c r="CE27" s="109" t="s">
        <v>13</v>
      </c>
      <c r="CF27" s="4">
        <v>19.2</v>
      </c>
      <c r="CG27" s="95">
        <v>195.184631545531</v>
      </c>
      <c r="CH27" s="4">
        <f t="shared" si="1"/>
        <v>1.1261700000000001</v>
      </c>
      <c r="CI27" s="16">
        <v>1.7536097311226798E-2</v>
      </c>
      <c r="CJ27" s="7" t="str">
        <f t="shared" si="21"/>
        <v>NW (4.3)</v>
      </c>
      <c r="CK27" s="3" t="s">
        <v>129</v>
      </c>
      <c r="CL27" s="23">
        <v>1.4666666984558101</v>
      </c>
      <c r="CM27" s="4">
        <v>1</v>
      </c>
      <c r="CN27" s="148">
        <v>0.18761586588067805</v>
      </c>
      <c r="CO27" s="145" t="str">
        <f t="shared" si="22"/>
        <v>---</v>
      </c>
      <c r="CP27" s="139" t="str">
        <f t="shared" si="23"/>
        <v>---</v>
      </c>
      <c r="CQ27" s="137">
        <v>0</v>
      </c>
      <c r="CR27" s="95">
        <v>0</v>
      </c>
      <c r="CS27" s="95">
        <v>0</v>
      </c>
      <c r="CT27" s="95">
        <v>0</v>
      </c>
      <c r="CU27" s="95">
        <v>0</v>
      </c>
      <c r="CV27" s="95">
        <v>0</v>
      </c>
      <c r="CW27" s="95">
        <v>3.650773061179538E-2</v>
      </c>
      <c r="CX27" s="95">
        <v>3.7298503393276498E-2</v>
      </c>
      <c r="CY27" s="95">
        <v>3.7862017815707749E-2</v>
      </c>
      <c r="CZ27" s="95">
        <v>3.8301905376251007E-2</v>
      </c>
      <c r="DA27" s="95">
        <v>3.8789818094390097E-2</v>
      </c>
      <c r="DB27" s="96">
        <v>4.6076665987858666E-2</v>
      </c>
      <c r="DC27" s="3">
        <v>295.70855496693298</v>
      </c>
      <c r="DD27" s="3">
        <v>507.11232712224</v>
      </c>
      <c r="DE27" s="3">
        <v>747.56662069768095</v>
      </c>
      <c r="DF27" s="3">
        <v>295.70855496693298</v>
      </c>
      <c r="DG27" s="3">
        <v>507.11232712224</v>
      </c>
      <c r="DH27" s="3">
        <v>747.56662069768095</v>
      </c>
      <c r="DI27" s="92" t="str">
        <f t="shared" si="34"/>
        <v>Q2</v>
      </c>
      <c r="DJ27" s="95">
        <v>366.890799174032</v>
      </c>
      <c r="DK27" s="95">
        <v>532.34224190334396</v>
      </c>
      <c r="DL27" s="95">
        <v>788.24773146305495</v>
      </c>
      <c r="DM27" s="95">
        <v>931.28795282121405</v>
      </c>
      <c r="DN27" s="95">
        <v>1082.0503129558499</v>
      </c>
      <c r="DO27" s="96">
        <v>1559.1240895931601</v>
      </c>
      <c r="DP27" t="b">
        <f t="shared" si="24"/>
        <v>1</v>
      </c>
      <c r="DQ27" t="s">
        <v>13</v>
      </c>
      <c r="DR27">
        <v>195.184631545531</v>
      </c>
      <c r="EM27" s="163" t="s">
        <v>13</v>
      </c>
      <c r="EN27" s="92" t="str">
        <f t="shared" si="25"/>
        <v>---</v>
      </c>
      <c r="EO27" s="22" t="b">
        <f t="shared" si="2"/>
        <v>1</v>
      </c>
      <c r="EP27" s="4">
        <v>1</v>
      </c>
      <c r="EQ27" s="23">
        <v>1.4666666984558101</v>
      </c>
      <c r="ER27" s="58" t="str">
        <f t="shared" si="28"/>
        <v>ME</v>
      </c>
      <c r="ES27" s="68" t="s">
        <v>13</v>
      </c>
      <c r="ET27" s="4">
        <v>1.1261700000000001</v>
      </c>
      <c r="EU27" s="16">
        <v>1.7536097311226798E-2</v>
      </c>
      <c r="EV27" s="5" t="s">
        <v>30</v>
      </c>
      <c r="EW27" t="s">
        <v>50</v>
      </c>
      <c r="EX27" s="18" t="s">
        <v>208</v>
      </c>
      <c r="EY27" s="18" t="s">
        <v>208</v>
      </c>
      <c r="EZ27" s="5" t="s">
        <v>5</v>
      </c>
      <c r="FA27" s="23" t="s">
        <v>88</v>
      </c>
      <c r="FB27" s="22"/>
      <c r="FC27" s="22"/>
      <c r="FD27" s="11"/>
      <c r="FE27" s="8">
        <v>0.47429801799627902</v>
      </c>
      <c r="FF27" s="9">
        <v>0.488170572706081</v>
      </c>
      <c r="FG27" s="9">
        <v>0.50007103189730095</v>
      </c>
      <c r="FH27" s="9">
        <v>0.50182692247217198</v>
      </c>
      <c r="FI27" s="9">
        <v>0.50570147760248196</v>
      </c>
      <c r="FJ27" s="10">
        <v>0.54025049608106201</v>
      </c>
      <c r="FK27" s="14"/>
      <c r="FL27" s="3">
        <v>1126.17</v>
      </c>
      <c r="FM27" s="5">
        <v>2</v>
      </c>
      <c r="FN27" s="5" t="str">
        <f t="shared" si="3"/>
        <v>Q2</v>
      </c>
      <c r="FO27" s="5">
        <v>0</v>
      </c>
      <c r="FP27" s="5"/>
      <c r="FQ27" s="5"/>
      <c r="FR27" s="5"/>
      <c r="FS27" s="68" t="s">
        <v>13</v>
      </c>
      <c r="FT27" s="5"/>
      <c r="FU27" s="5" t="str">
        <f t="shared" si="4"/>
        <v>---</v>
      </c>
      <c r="FV27" s="5"/>
      <c r="FW27" s="5" t="str">
        <f t="shared" si="4"/>
        <v>---</v>
      </c>
      <c r="FX27" s="5"/>
      <c r="FY27" s="4">
        <v>0</v>
      </c>
      <c r="FZ27" s="5"/>
      <c r="GA27" s="4" t="str">
        <f t="shared" si="5"/>
        <v>na</v>
      </c>
      <c r="GC27" t="s">
        <v>13</v>
      </c>
      <c r="GD27">
        <v>366.890799174032</v>
      </c>
      <c r="GE27">
        <v>532.34224190334396</v>
      </c>
      <c r="GF27">
        <v>788.24773146305495</v>
      </c>
      <c r="GG27">
        <v>931.28795282121405</v>
      </c>
      <c r="GH27">
        <v>1082.0503129558499</v>
      </c>
      <c r="GI27">
        <v>1559.1240895931601</v>
      </c>
      <c r="GJ27" s="19"/>
      <c r="GK27" s="14"/>
      <c r="GL27" s="15">
        <v>1.7536097311226798E-2</v>
      </c>
      <c r="GM27">
        <v>295.70855496693298</v>
      </c>
      <c r="GN27">
        <v>507.11232712224</v>
      </c>
      <c r="GO27">
        <v>747.56662069768095</v>
      </c>
      <c r="GP27">
        <v>269.13037377019401</v>
      </c>
      <c r="GQ27">
        <v>374.61986231115998</v>
      </c>
      <c r="GR27">
        <v>526.07129688720102</v>
      </c>
      <c r="GS27">
        <v>605.85439454197399</v>
      </c>
      <c r="GT27">
        <v>685.50944910557496</v>
      </c>
      <c r="GU27">
        <v>900.05605410562202</v>
      </c>
      <c r="GV27" s="14"/>
      <c r="GW27" s="14"/>
      <c r="HB27">
        <v>1</v>
      </c>
      <c r="HC27">
        <f t="shared" si="29"/>
        <v>1</v>
      </c>
      <c r="HE27">
        <v>1</v>
      </c>
      <c r="HF27">
        <f t="shared" si="30"/>
        <v>1</v>
      </c>
      <c r="HG27" t="str">
        <f t="shared" si="31"/>
        <v/>
      </c>
      <c r="HH27" t="str">
        <f t="shared" si="6"/>
        <v>Entrenched</v>
      </c>
    </row>
    <row r="28" spans="1:247" x14ac:dyDescent="0.3">
      <c r="A28" s="128" t="s">
        <v>85</v>
      </c>
      <c r="B28" s="3">
        <v>52.75</v>
      </c>
      <c r="C28" s="3"/>
      <c r="D28" s="3"/>
      <c r="E28" s="3"/>
      <c r="F28" s="3"/>
      <c r="G28" s="3"/>
      <c r="H28" s="3"/>
      <c r="I28" s="3"/>
      <c r="J28" s="3"/>
      <c r="K28" s="3"/>
      <c r="L28" s="3"/>
      <c r="M28" s="3">
        <v>0</v>
      </c>
      <c r="N28" s="3">
        <v>0</v>
      </c>
      <c r="O28" s="3">
        <v>0</v>
      </c>
      <c r="P28" s="3">
        <v>0</v>
      </c>
      <c r="Q28" s="3">
        <v>0</v>
      </c>
      <c r="R28" s="3">
        <v>0</v>
      </c>
      <c r="S28" s="3"/>
      <c r="T28" s="3">
        <v>13</v>
      </c>
      <c r="U28" s="3" t="s">
        <v>85</v>
      </c>
      <c r="V28" s="3" t="s">
        <v>85</v>
      </c>
      <c r="W28" s="3">
        <v>0</v>
      </c>
      <c r="X28" s="3">
        <f t="shared" si="11"/>
        <v>0</v>
      </c>
      <c r="Y28" s="3">
        <v>0</v>
      </c>
      <c r="Z28" s="3">
        <f t="shared" si="12"/>
        <v>0</v>
      </c>
      <c r="AA28" s="3">
        <f t="shared" si="0"/>
        <v>0</v>
      </c>
      <c r="AB28" s="3">
        <v>5.3</v>
      </c>
      <c r="AC28" s="3">
        <v>0</v>
      </c>
      <c r="AD28" s="3">
        <f t="shared" si="13"/>
        <v>0</v>
      </c>
      <c r="AE28" s="3">
        <v>0</v>
      </c>
      <c r="AF28" s="3">
        <f t="shared" si="14"/>
        <v>0</v>
      </c>
      <c r="AG28" s="3">
        <v>2370</v>
      </c>
      <c r="AH28" s="3" t="s">
        <v>132</v>
      </c>
      <c r="AI28" s="3">
        <v>11</v>
      </c>
      <c r="AJ28" s="3">
        <v>1.0698925256729099</v>
      </c>
      <c r="AK28" s="3">
        <v>228</v>
      </c>
      <c r="AL28" s="5">
        <v>9</v>
      </c>
      <c r="AM28" s="5" t="s">
        <v>85</v>
      </c>
      <c r="AN28" s="5" t="s">
        <v>81</v>
      </c>
      <c r="AO28" s="5">
        <v>16</v>
      </c>
      <c r="AP28" s="5">
        <v>0.63749999999999996</v>
      </c>
      <c r="AQ28" s="3" t="s">
        <v>88</v>
      </c>
      <c r="AR28" s="3" t="s">
        <v>125</v>
      </c>
      <c r="AS28" s="5" t="s">
        <v>1</v>
      </c>
      <c r="AT28" s="3" t="s">
        <v>126</v>
      </c>
      <c r="AU28" s="3" t="s">
        <v>81</v>
      </c>
      <c r="AV28" s="3"/>
      <c r="AW28" s="23" t="s">
        <v>88</v>
      </c>
      <c r="AX28" s="3" t="s">
        <v>130</v>
      </c>
      <c r="AY28" s="23">
        <v>2.7868852615356401</v>
      </c>
      <c r="AZ28" s="23"/>
      <c r="BA28" s="28" t="str">
        <f t="shared" si="26"/>
        <v>NE</v>
      </c>
      <c r="BB28" s="23">
        <v>1.2325581312179601</v>
      </c>
      <c r="BC28" s="4">
        <f t="shared" si="27"/>
        <v>1.2</v>
      </c>
      <c r="BD28" s="23" t="b">
        <f t="shared" si="16"/>
        <v>0</v>
      </c>
      <c r="BE28" s="5" t="s">
        <v>99</v>
      </c>
      <c r="BF28" s="5" t="s">
        <v>99</v>
      </c>
      <c r="BG28" s="5">
        <v>350</v>
      </c>
      <c r="BH28" s="3">
        <v>0</v>
      </c>
      <c r="BI28" s="3">
        <f t="shared" si="15"/>
        <v>0</v>
      </c>
      <c r="BJ28" s="3">
        <v>0</v>
      </c>
      <c r="BK28" s="3">
        <f t="shared" si="33"/>
        <v>0</v>
      </c>
      <c r="BL28" s="56">
        <f t="shared" si="17"/>
        <v>0</v>
      </c>
      <c r="BM28" s="3" t="s">
        <v>162</v>
      </c>
      <c r="BN28" s="3">
        <v>5.1470000000000002</v>
      </c>
      <c r="BO28" s="3">
        <v>1093.9300536999999</v>
      </c>
      <c r="BP28" s="3">
        <f t="shared" si="18"/>
        <v>806.18999999999994</v>
      </c>
      <c r="BQ28" s="57">
        <f t="shared" si="19"/>
        <v>0.17486060465624834</v>
      </c>
      <c r="BR28" s="3">
        <v>210.38</v>
      </c>
      <c r="BS28" s="3">
        <v>595.80999999999995</v>
      </c>
      <c r="BT28" s="3">
        <v>4</v>
      </c>
      <c r="BU28" s="3">
        <v>5</v>
      </c>
      <c r="BV28" s="3" t="s">
        <v>87</v>
      </c>
      <c r="BW28" s="23" t="s">
        <v>88</v>
      </c>
      <c r="BX28" s="3">
        <v>4.3222748815165897</v>
      </c>
      <c r="BY28" s="170">
        <f t="shared" si="20"/>
        <v>4.3</v>
      </c>
      <c r="BZ28" s="170">
        <f t="shared" si="7"/>
        <v>0</v>
      </c>
      <c r="CA28" s="170">
        <f t="shared" si="8"/>
        <v>0.29999999999999982</v>
      </c>
      <c r="CB28" s="170" t="str">
        <f t="shared" si="9"/>
        <v/>
      </c>
      <c r="CC28" s="170" t="str">
        <f t="shared" si="10"/>
        <v>4.3</v>
      </c>
      <c r="CD28" s="27"/>
      <c r="CE28" s="109" t="s">
        <v>14</v>
      </c>
      <c r="CF28" s="4">
        <v>18.2</v>
      </c>
      <c r="CG28" s="95">
        <v>210.096612540671</v>
      </c>
      <c r="CH28" s="4">
        <f t="shared" si="1"/>
        <v>0.70263599999999993</v>
      </c>
      <c r="CI28" s="16">
        <v>1.0608506334761099E-2</v>
      </c>
      <c r="CJ28" s="7" t="str">
        <f t="shared" si="21"/>
        <v>NW (4.3)</v>
      </c>
      <c r="CK28" s="3" t="s">
        <v>129</v>
      </c>
      <c r="CL28" s="23">
        <v>2.7868852615356401</v>
      </c>
      <c r="CM28" s="4">
        <v>1.2</v>
      </c>
      <c r="CN28" s="148">
        <v>0</v>
      </c>
      <c r="CO28" s="145" t="str">
        <f t="shared" si="22"/>
        <v>Q500</v>
      </c>
      <c r="CP28" s="139" t="str">
        <f t="shared" si="23"/>
        <v>---</v>
      </c>
      <c r="CQ28" s="137">
        <v>0</v>
      </c>
      <c r="CR28" s="95">
        <v>0</v>
      </c>
      <c r="CS28" s="95">
        <v>0</v>
      </c>
      <c r="CT28" s="95">
        <v>0</v>
      </c>
      <c r="CU28" s="95">
        <v>0</v>
      </c>
      <c r="CV28" s="95">
        <v>2.5774369659396901</v>
      </c>
      <c r="CW28" s="95">
        <v>5.02909903884384E-2</v>
      </c>
      <c r="CX28" s="95">
        <v>9.185435045539056E-2</v>
      </c>
      <c r="CY28" s="95">
        <v>0.27156843899213251</v>
      </c>
      <c r="CZ28" s="95">
        <v>0.52921241454344503</v>
      </c>
      <c r="DA28" s="95">
        <v>0.87231239506119818</v>
      </c>
      <c r="DB28" s="96">
        <v>0.96151196953037699</v>
      </c>
      <c r="DC28" s="3">
        <v>530.32655941708003</v>
      </c>
      <c r="DD28" s="3">
        <v>732.95979062839297</v>
      </c>
      <c r="DE28" s="3">
        <v>1012.98408663825</v>
      </c>
      <c r="DF28" s="3">
        <v>530.32655941708003</v>
      </c>
      <c r="DG28" s="3">
        <v>732.95979062839297</v>
      </c>
      <c r="DH28" s="3">
        <v>1012.98408663825</v>
      </c>
      <c r="DI28" s="92" t="str">
        <f t="shared" si="34"/>
        <v>Q500</v>
      </c>
      <c r="DJ28" s="95">
        <v>132.64710350681199</v>
      </c>
      <c r="DK28" s="95">
        <v>200.119378491334</v>
      </c>
      <c r="DL28" s="95">
        <v>299.78475865686198</v>
      </c>
      <c r="DM28" s="95">
        <v>349.943254373466</v>
      </c>
      <c r="DN28" s="95">
        <v>410.34199234563999</v>
      </c>
      <c r="DO28" s="96">
        <v>562.54234753856201</v>
      </c>
      <c r="DP28" t="b">
        <f t="shared" si="24"/>
        <v>1</v>
      </c>
      <c r="DQ28" t="s">
        <v>14</v>
      </c>
      <c r="DR28">
        <v>210.096612540671</v>
      </c>
      <c r="EM28" s="163" t="s">
        <v>14</v>
      </c>
      <c r="EN28" s="92" t="str">
        <f t="shared" si="25"/>
        <v>Q500</v>
      </c>
      <c r="EO28" s="22" t="b">
        <f t="shared" si="2"/>
        <v>1</v>
      </c>
      <c r="EP28" s="4">
        <v>1.2</v>
      </c>
      <c r="EQ28" s="23">
        <v>2.7868852615356401</v>
      </c>
      <c r="ER28" s="28" t="str">
        <f t="shared" si="28"/>
        <v>NE</v>
      </c>
      <c r="ES28" s="68" t="s">
        <v>14</v>
      </c>
      <c r="ET28" s="4">
        <v>0.70263599999999993</v>
      </c>
      <c r="EU28" s="16">
        <v>1.0608506334761099E-2</v>
      </c>
      <c r="EV28" s="5" t="s">
        <v>35</v>
      </c>
      <c r="EW28" t="s">
        <v>35</v>
      </c>
      <c r="EX28" s="18" t="s">
        <v>208</v>
      </c>
      <c r="EY28" s="18" t="s">
        <v>208</v>
      </c>
      <c r="EZ28" s="5" t="s">
        <v>1</v>
      </c>
      <c r="FA28" s="23" t="s">
        <v>88</v>
      </c>
      <c r="FB28" s="22"/>
      <c r="FC28" s="22"/>
      <c r="FD28" s="11"/>
      <c r="FE28" s="8">
        <v>0.77704507616280705</v>
      </c>
      <c r="FF28" s="9">
        <v>0.88732506256161003</v>
      </c>
      <c r="FG28" s="9">
        <v>1.1939315859750701</v>
      </c>
      <c r="FH28" s="9">
        <v>1.52269118025206</v>
      </c>
      <c r="FI28" s="9">
        <v>1.9267692127114899</v>
      </c>
      <c r="FJ28" s="10">
        <v>2.11908060154511</v>
      </c>
      <c r="FK28" s="14"/>
      <c r="FL28" s="3">
        <v>702.63599999999997</v>
      </c>
      <c r="FM28" s="5">
        <v>500</v>
      </c>
      <c r="FN28" s="5" t="str">
        <f t="shared" si="3"/>
        <v>Q500</v>
      </c>
      <c r="FO28" s="5">
        <v>2776</v>
      </c>
      <c r="FP28" s="5">
        <v>2776</v>
      </c>
      <c r="FQ28" s="5">
        <v>500</v>
      </c>
      <c r="FR28" s="5" t="str">
        <f>IF(ISBLANK(FQ28),"na",CONCATENATE("Q",FQ28))</f>
        <v>Q500</v>
      </c>
      <c r="FS28" s="68" t="s">
        <v>14</v>
      </c>
      <c r="FT28" s="5">
        <v>500</v>
      </c>
      <c r="FU28" s="5" t="str">
        <f t="shared" si="4"/>
        <v>Q500</v>
      </c>
      <c r="FV28" s="5"/>
      <c r="FW28" s="5" t="str">
        <f t="shared" si="4"/>
        <v>---</v>
      </c>
      <c r="FX28" s="5">
        <v>2E-3</v>
      </c>
      <c r="FY28" s="4">
        <v>3.9508365640246099</v>
      </c>
      <c r="FZ28" s="5">
        <v>3.9508365640246099</v>
      </c>
      <c r="GA28" s="4">
        <f t="shared" si="5"/>
        <v>3.9508365640246099</v>
      </c>
      <c r="GC28" t="s">
        <v>14</v>
      </c>
      <c r="GD28">
        <v>132.64710350681199</v>
      </c>
      <c r="GE28">
        <v>200.119378491334</v>
      </c>
      <c r="GF28">
        <v>299.78475865686198</v>
      </c>
      <c r="GG28">
        <v>349.943254373466</v>
      </c>
      <c r="GH28">
        <v>410.34199234563999</v>
      </c>
      <c r="GI28">
        <v>562.54234753856201</v>
      </c>
      <c r="GJ28" s="19"/>
      <c r="GK28" s="14"/>
      <c r="GL28" s="15">
        <v>1.0608506334761099E-2</v>
      </c>
      <c r="GM28">
        <v>530.32655941708003</v>
      </c>
      <c r="GN28">
        <v>732.95979062839297</v>
      </c>
      <c r="GO28">
        <v>1012.98408663825</v>
      </c>
      <c r="GP28">
        <v>103.721485267152</v>
      </c>
      <c r="GQ28">
        <v>141.72707162456001</v>
      </c>
      <c r="GR28">
        <v>185.78139068772299</v>
      </c>
      <c r="GS28">
        <v>203.602563784491</v>
      </c>
      <c r="GT28">
        <v>227.90599276967899</v>
      </c>
      <c r="GU28">
        <v>263.26194121935998</v>
      </c>
      <c r="GV28" s="14"/>
      <c r="GW28" s="14"/>
      <c r="HC28" t="str">
        <f t="shared" si="29"/>
        <v/>
      </c>
      <c r="HF28">
        <f t="shared" si="30"/>
        <v>0</v>
      </c>
      <c r="HG28" t="str">
        <f t="shared" si="31"/>
        <v/>
      </c>
      <c r="HH28" t="str">
        <f t="shared" si="6"/>
        <v>Entrenched</v>
      </c>
    </row>
    <row r="29" spans="1:247" x14ac:dyDescent="0.3">
      <c r="A29" s="128" t="s">
        <v>85</v>
      </c>
      <c r="B29" s="3">
        <v>52.75</v>
      </c>
      <c r="C29" s="3"/>
      <c r="D29" s="3"/>
      <c r="E29" s="3"/>
      <c r="F29" s="3"/>
      <c r="G29" s="3"/>
      <c r="H29" s="3"/>
      <c r="I29" s="3"/>
      <c r="J29" s="3"/>
      <c r="K29" s="3"/>
      <c r="L29" s="3"/>
      <c r="M29" s="3">
        <v>0</v>
      </c>
      <c r="N29" s="3">
        <v>0</v>
      </c>
      <c r="O29" s="3">
        <v>0</v>
      </c>
      <c r="P29" s="3">
        <v>0</v>
      </c>
      <c r="Q29" s="3">
        <v>0</v>
      </c>
      <c r="R29" s="3">
        <v>0</v>
      </c>
      <c r="S29" s="3">
        <v>7.2</v>
      </c>
      <c r="T29" s="3">
        <v>14</v>
      </c>
      <c r="U29" s="3" t="s">
        <v>161</v>
      </c>
      <c r="V29" s="3" t="s">
        <v>161</v>
      </c>
      <c r="W29" s="3">
        <v>91.64</v>
      </c>
      <c r="X29" s="3">
        <f t="shared" si="11"/>
        <v>2.5797395457398405E-2</v>
      </c>
      <c r="Y29" s="3">
        <v>92.72</v>
      </c>
      <c r="Z29" s="3">
        <f t="shared" si="12"/>
        <v>2.6101424124945222E-2</v>
      </c>
      <c r="AA29" s="3">
        <f t="shared" si="0"/>
        <v>5.189881958234363E-2</v>
      </c>
      <c r="AB29" s="3">
        <v>7.2</v>
      </c>
      <c r="AC29" s="3">
        <v>546.82000000000005</v>
      </c>
      <c r="AD29" s="3">
        <f t="shared" si="13"/>
        <v>0.15393421850736139</v>
      </c>
      <c r="AE29" s="3">
        <v>0</v>
      </c>
      <c r="AF29" s="3">
        <f t="shared" si="14"/>
        <v>0</v>
      </c>
      <c r="AG29" s="3">
        <v>3270</v>
      </c>
      <c r="AH29" s="3" t="s">
        <v>132</v>
      </c>
      <c r="AI29" s="3">
        <v>13</v>
      </c>
      <c r="AJ29" s="3">
        <v>1.0698925256729099</v>
      </c>
      <c r="AK29" s="3">
        <v>228</v>
      </c>
      <c r="AL29" s="5">
        <v>9</v>
      </c>
      <c r="AM29" s="5" t="s">
        <v>85</v>
      </c>
      <c r="AN29" s="5" t="s">
        <v>81</v>
      </c>
      <c r="AO29" s="5">
        <v>12</v>
      </c>
      <c r="AP29" s="5">
        <v>0.6875</v>
      </c>
      <c r="AQ29" s="3" t="s">
        <v>88</v>
      </c>
      <c r="AR29" s="3" t="s">
        <v>85</v>
      </c>
      <c r="AS29" s="5" t="s">
        <v>5</v>
      </c>
      <c r="AT29" s="3" t="s">
        <v>126</v>
      </c>
      <c r="AU29" s="3" t="s">
        <v>81</v>
      </c>
      <c r="AV29" s="3"/>
      <c r="AW29" s="23" t="s">
        <v>88</v>
      </c>
      <c r="AX29" s="3" t="s">
        <v>130</v>
      </c>
      <c r="AY29" s="23">
        <v>2.2178218364715598</v>
      </c>
      <c r="AZ29" s="23"/>
      <c r="BA29" s="28" t="str">
        <f t="shared" si="26"/>
        <v>NE</v>
      </c>
      <c r="BB29" s="23">
        <v>1.6744184494018599</v>
      </c>
      <c r="BC29" s="4">
        <f t="shared" si="27"/>
        <v>1.7</v>
      </c>
      <c r="BD29" s="23" t="b">
        <f t="shared" si="16"/>
        <v>1</v>
      </c>
      <c r="BE29" s="5" t="s">
        <v>99</v>
      </c>
      <c r="BF29" s="5" t="s">
        <v>99</v>
      </c>
      <c r="BG29" s="5">
        <v>228</v>
      </c>
      <c r="BH29" s="3">
        <v>0</v>
      </c>
      <c r="BI29" s="3">
        <f t="shared" si="15"/>
        <v>0</v>
      </c>
      <c r="BJ29" s="3">
        <v>0</v>
      </c>
      <c r="BK29" s="3">
        <f t="shared" si="33"/>
        <v>0</v>
      </c>
      <c r="BL29" s="56">
        <f t="shared" si="17"/>
        <v>0</v>
      </c>
      <c r="BM29" s="3" t="s">
        <v>160</v>
      </c>
      <c r="BN29" s="3">
        <v>5.1470000000000002</v>
      </c>
      <c r="BO29" s="3">
        <v>1093.9300536999999</v>
      </c>
      <c r="BP29" s="3">
        <f t="shared" si="18"/>
        <v>79.69</v>
      </c>
      <c r="BQ29" s="57">
        <f t="shared" si="19"/>
        <v>1.121668727629899E-2</v>
      </c>
      <c r="BR29" s="3">
        <v>79.69</v>
      </c>
      <c r="BS29" s="3">
        <v>0</v>
      </c>
      <c r="BT29" s="3">
        <v>3</v>
      </c>
      <c r="BU29" s="3">
        <v>0</v>
      </c>
      <c r="BV29" s="3" t="s">
        <v>84</v>
      </c>
      <c r="BW29" s="23" t="s">
        <v>88</v>
      </c>
      <c r="BX29" s="3">
        <v>4.3222748815165897</v>
      </c>
      <c r="BY29" s="170">
        <f t="shared" si="20"/>
        <v>4.3</v>
      </c>
      <c r="BZ29" s="170">
        <f t="shared" si="7"/>
        <v>0</v>
      </c>
      <c r="CA29" s="170">
        <f t="shared" si="8"/>
        <v>0.29999999999999982</v>
      </c>
      <c r="CB29" s="170" t="str">
        <f t="shared" si="9"/>
        <v/>
      </c>
      <c r="CC29" s="170" t="str">
        <f t="shared" si="10"/>
        <v>4.3</v>
      </c>
      <c r="CD29" s="27"/>
      <c r="CE29" s="109" t="s">
        <v>15</v>
      </c>
      <c r="CF29" s="4">
        <v>17.899999999999999</v>
      </c>
      <c r="CG29" s="95">
        <v>236.16254501611101</v>
      </c>
      <c r="CH29" s="4">
        <f t="shared" si="1"/>
        <v>1.08274</v>
      </c>
      <c r="CI29" s="16">
        <v>1.5566913048002E-2</v>
      </c>
      <c r="CJ29" s="7" t="str">
        <f t="shared" si="21"/>
        <v>NW (4.3)</v>
      </c>
      <c r="CK29" s="3" t="s">
        <v>129</v>
      </c>
      <c r="CL29" s="23">
        <v>2.2178218364715598</v>
      </c>
      <c r="CM29" s="4">
        <v>1.7</v>
      </c>
      <c r="CN29" s="148">
        <v>0</v>
      </c>
      <c r="CO29" s="145" t="str">
        <f t="shared" si="22"/>
        <v>---</v>
      </c>
      <c r="CP29" s="139" t="str">
        <f t="shared" si="23"/>
        <v>---</v>
      </c>
      <c r="CQ29" s="137">
        <v>0</v>
      </c>
      <c r="CR29" s="95">
        <v>0</v>
      </c>
      <c r="CS29" s="95">
        <v>0</v>
      </c>
      <c r="CT29" s="95">
        <v>0</v>
      </c>
      <c r="CU29" s="95">
        <v>0</v>
      </c>
      <c r="CV29" s="95">
        <v>0</v>
      </c>
      <c r="CW29" s="95">
        <v>3.2941563461441524E-2</v>
      </c>
      <c r="CX29" s="95">
        <v>4.1885342811907013E-2</v>
      </c>
      <c r="CY29" s="95">
        <v>5.9690145596522984E-2</v>
      </c>
      <c r="CZ29" s="95">
        <v>6.0265327800435926E-2</v>
      </c>
      <c r="DA29" s="95">
        <v>6.4137052921130464E-2</v>
      </c>
      <c r="DB29" s="96">
        <v>7.5764335023376247E-2</v>
      </c>
      <c r="DC29" s="3">
        <v>490.70852093603401</v>
      </c>
      <c r="DD29" s="3">
        <v>722.796392814716</v>
      </c>
      <c r="DE29" s="3">
        <v>1367.2746592231499</v>
      </c>
      <c r="DF29" s="3">
        <v>490.70852093603401</v>
      </c>
      <c r="DG29" s="3">
        <v>722.796392814716</v>
      </c>
      <c r="DH29" s="3">
        <v>1367.2746592231499</v>
      </c>
      <c r="DI29" s="92" t="str">
        <f t="shared" si="34"/>
        <v>Q25</v>
      </c>
      <c r="DJ29" s="95">
        <v>261.24218494817598</v>
      </c>
      <c r="DK29" s="95">
        <v>399.11865450902798</v>
      </c>
      <c r="DL29" s="95">
        <v>651.19289028068704</v>
      </c>
      <c r="DM29" s="95">
        <v>766.52895286565695</v>
      </c>
      <c r="DN29" s="95">
        <v>944.70717112111697</v>
      </c>
      <c r="DO29" s="96">
        <v>1267.7215804083401</v>
      </c>
      <c r="DP29" t="b">
        <f t="shared" si="24"/>
        <v>1</v>
      </c>
      <c r="DQ29" t="s">
        <v>15</v>
      </c>
      <c r="DR29">
        <v>236.16254501611101</v>
      </c>
      <c r="EM29" s="163" t="s">
        <v>15</v>
      </c>
      <c r="EN29" s="92" t="str">
        <f t="shared" si="25"/>
        <v>---</v>
      </c>
      <c r="EO29" s="22" t="b">
        <f t="shared" si="2"/>
        <v>1</v>
      </c>
      <c r="EP29" s="4">
        <v>1.7</v>
      </c>
      <c r="EQ29" s="23">
        <v>2.2178218364715598</v>
      </c>
      <c r="ER29" s="28" t="str">
        <f t="shared" si="28"/>
        <v>NE</v>
      </c>
      <c r="ES29" s="68" t="s">
        <v>15</v>
      </c>
      <c r="ET29" s="4">
        <v>1.08274</v>
      </c>
      <c r="EU29" s="16">
        <v>1.5566913048002E-2</v>
      </c>
      <c r="EV29" s="5" t="s">
        <v>32</v>
      </c>
      <c r="EW29" t="s">
        <v>50</v>
      </c>
      <c r="EX29" s="18" t="s">
        <v>208</v>
      </c>
      <c r="EY29" s="18" t="s">
        <v>208</v>
      </c>
      <c r="EZ29" s="5" t="s">
        <v>5</v>
      </c>
      <c r="FA29" s="23" t="s">
        <v>88</v>
      </c>
      <c r="FB29" s="22"/>
      <c r="FC29" s="22"/>
      <c r="FD29" s="11"/>
      <c r="FE29" s="8">
        <v>0.836040711234036</v>
      </c>
      <c r="FF29" s="9">
        <v>0.87770000420276495</v>
      </c>
      <c r="FG29" s="9">
        <v>0.95151460902096496</v>
      </c>
      <c r="FH29" s="9">
        <v>0.97981240726571495</v>
      </c>
      <c r="FI29" s="9">
        <v>1.0111948771414601</v>
      </c>
      <c r="FJ29" s="10">
        <v>1.0838367104790101</v>
      </c>
      <c r="FK29" s="14"/>
      <c r="FL29" s="3">
        <v>1082.74</v>
      </c>
      <c r="FM29" s="5">
        <v>25</v>
      </c>
      <c r="FN29" s="5" t="str">
        <f t="shared" si="3"/>
        <v>Q25</v>
      </c>
      <c r="FO29" s="5">
        <v>0</v>
      </c>
      <c r="FP29" s="5"/>
      <c r="FQ29" s="5"/>
      <c r="FR29" s="5"/>
      <c r="FS29" s="68" t="s">
        <v>15</v>
      </c>
      <c r="FT29" s="5"/>
      <c r="FU29" s="5" t="str">
        <f t="shared" si="4"/>
        <v>---</v>
      </c>
      <c r="FV29" s="5"/>
      <c r="FW29" s="5" t="str">
        <f t="shared" si="4"/>
        <v>---</v>
      </c>
      <c r="FX29" s="5"/>
      <c r="FY29" s="4">
        <v>0</v>
      </c>
      <c r="FZ29" s="5"/>
      <c r="GA29" s="5" t="str">
        <f t="shared" si="5"/>
        <v>na</v>
      </c>
      <c r="GC29" t="s">
        <v>15</v>
      </c>
      <c r="GD29">
        <v>261.24218494817598</v>
      </c>
      <c r="GE29">
        <v>399.11865450902798</v>
      </c>
      <c r="GF29">
        <v>651.19289028068704</v>
      </c>
      <c r="GG29">
        <v>766.52895286565695</v>
      </c>
      <c r="GH29">
        <v>944.70717112111697</v>
      </c>
      <c r="GI29">
        <v>1267.7215804083401</v>
      </c>
      <c r="GK29" s="14"/>
      <c r="GL29" s="15">
        <v>1.5566913048002E-2</v>
      </c>
      <c r="GM29">
        <v>490.70852093603401</v>
      </c>
      <c r="GN29">
        <v>722.796392814716</v>
      </c>
      <c r="GO29">
        <v>1367.2746592231499</v>
      </c>
      <c r="GP29">
        <v>193.754382691188</v>
      </c>
      <c r="GQ29">
        <v>276.76467598369499</v>
      </c>
      <c r="GR29">
        <v>390.588291283751</v>
      </c>
      <c r="GS29">
        <v>440.40900093419702</v>
      </c>
      <c r="GT29">
        <v>505.41419279288198</v>
      </c>
      <c r="GU29">
        <v>616.71784754309101</v>
      </c>
      <c r="GV29" s="14"/>
      <c r="GW29" s="14"/>
      <c r="HB29">
        <v>1</v>
      </c>
      <c r="HC29">
        <f t="shared" si="29"/>
        <v>1</v>
      </c>
      <c r="HE29">
        <v>1</v>
      </c>
      <c r="HF29">
        <f t="shared" si="30"/>
        <v>1</v>
      </c>
      <c r="HG29" t="str">
        <f t="shared" si="31"/>
        <v/>
      </c>
      <c r="HH29" t="str">
        <f t="shared" si="6"/>
        <v>Entrenched</v>
      </c>
    </row>
    <row r="30" spans="1:247" ht="15" thickBot="1" x14ac:dyDescent="0.35">
      <c r="A30" s="130" t="s">
        <v>85</v>
      </c>
      <c r="B30" s="100">
        <v>35.68</v>
      </c>
      <c r="C30" s="100"/>
      <c r="D30" s="100"/>
      <c r="E30" s="100"/>
      <c r="F30" s="100"/>
      <c r="G30" s="100"/>
      <c r="H30" s="100"/>
      <c r="I30" s="100"/>
      <c r="J30" s="100"/>
      <c r="K30" s="100"/>
      <c r="L30" s="100"/>
      <c r="M30" s="100">
        <v>148.18</v>
      </c>
      <c r="N30" s="100">
        <v>0</v>
      </c>
      <c r="O30" s="100">
        <v>0</v>
      </c>
      <c r="P30" s="100">
        <v>0</v>
      </c>
      <c r="Q30" s="100">
        <v>0</v>
      </c>
      <c r="R30" s="100">
        <v>0</v>
      </c>
      <c r="S30" s="100">
        <v>10.5</v>
      </c>
      <c r="T30" s="100">
        <v>15</v>
      </c>
      <c r="U30" s="100" t="s">
        <v>161</v>
      </c>
      <c r="V30" s="100" t="s">
        <v>85</v>
      </c>
      <c r="W30" s="100">
        <v>502.18</v>
      </c>
      <c r="X30" s="100">
        <f t="shared" si="11"/>
        <v>0.19770866111680568</v>
      </c>
      <c r="Y30" s="100">
        <v>0</v>
      </c>
      <c r="Z30" s="100">
        <f t="shared" si="12"/>
        <v>0</v>
      </c>
      <c r="AA30" s="100">
        <f t="shared" si="0"/>
        <v>0.19770866111680568</v>
      </c>
      <c r="AB30" s="100">
        <v>5.25</v>
      </c>
      <c r="AC30" s="100">
        <v>576.92999999999995</v>
      </c>
      <c r="AD30" s="100">
        <f t="shared" si="13"/>
        <v>0.22713779493034109</v>
      </c>
      <c r="AE30" s="100">
        <v>0</v>
      </c>
      <c r="AF30" s="100">
        <f t="shared" si="14"/>
        <v>0</v>
      </c>
      <c r="AG30" s="100">
        <v>2540</v>
      </c>
      <c r="AH30" s="100" t="s">
        <v>123</v>
      </c>
      <c r="AI30" s="100">
        <v>13</v>
      </c>
      <c r="AJ30" s="100">
        <v>1.3215401172637899</v>
      </c>
      <c r="AK30" s="100">
        <v>237</v>
      </c>
      <c r="AL30" s="91">
        <v>15</v>
      </c>
      <c r="AM30" s="91" t="s">
        <v>95</v>
      </c>
      <c r="AN30" s="91" t="s">
        <v>81</v>
      </c>
      <c r="AO30" s="91">
        <v>5</v>
      </c>
      <c r="AP30" s="91">
        <v>0.53749999999999998</v>
      </c>
      <c r="AQ30" s="100" t="s">
        <v>89</v>
      </c>
      <c r="AR30" s="100" t="s">
        <v>85</v>
      </c>
      <c r="AS30" s="91" t="s">
        <v>1</v>
      </c>
      <c r="AT30" s="100" t="s">
        <v>126</v>
      </c>
      <c r="AU30" s="100" t="s">
        <v>81</v>
      </c>
      <c r="AV30" s="100"/>
      <c r="AW30" s="101" t="s">
        <v>93</v>
      </c>
      <c r="AX30" s="100" t="s">
        <v>121</v>
      </c>
      <c r="AY30" s="101">
        <v>1.2689805030822801</v>
      </c>
      <c r="AZ30" s="101"/>
      <c r="BA30" s="131" t="str">
        <f t="shared" si="26"/>
        <v>HE</v>
      </c>
      <c r="BB30" s="101">
        <v>1.5</v>
      </c>
      <c r="BC30" s="70">
        <f t="shared" si="27"/>
        <v>1.5</v>
      </c>
      <c r="BD30" s="101" t="b">
        <f t="shared" si="16"/>
        <v>1</v>
      </c>
      <c r="BE30" s="91" t="s">
        <v>82</v>
      </c>
      <c r="BF30" s="91" t="s">
        <v>97</v>
      </c>
      <c r="BG30" s="91">
        <v>70</v>
      </c>
      <c r="BH30" s="100">
        <v>1067.4000000000001</v>
      </c>
      <c r="BI30" s="100">
        <f t="shared" si="15"/>
        <v>0.42023621983368192</v>
      </c>
      <c r="BJ30" s="100">
        <v>0</v>
      </c>
      <c r="BK30" s="100">
        <f t="shared" si="33"/>
        <v>0</v>
      </c>
      <c r="BL30" s="132">
        <f t="shared" si="17"/>
        <v>0.42023621983368192</v>
      </c>
      <c r="BM30" s="100" t="s">
        <v>83</v>
      </c>
      <c r="BN30" s="100">
        <v>4</v>
      </c>
      <c r="BO30" s="100">
        <v>75.870002700000001</v>
      </c>
      <c r="BP30" s="100">
        <f t="shared" si="18"/>
        <v>75.870002700000001</v>
      </c>
      <c r="BQ30" s="133">
        <f t="shared" si="19"/>
        <v>1.4935039878873542E-2</v>
      </c>
      <c r="BR30" s="100">
        <v>0</v>
      </c>
      <c r="BS30" s="100">
        <v>75.87</v>
      </c>
      <c r="BT30" s="100">
        <v>0</v>
      </c>
      <c r="BU30" s="100">
        <v>4</v>
      </c>
      <c r="BV30" s="100" t="s">
        <v>84</v>
      </c>
      <c r="BW30" s="101" t="s">
        <v>93</v>
      </c>
      <c r="BX30" s="100">
        <v>6.6423766816143504</v>
      </c>
      <c r="BY30" s="170">
        <f t="shared" si="20"/>
        <v>6.6</v>
      </c>
      <c r="BZ30" s="170">
        <f t="shared" si="7"/>
        <v>0</v>
      </c>
      <c r="CA30" s="170">
        <f t="shared" si="8"/>
        <v>0.59999999999999964</v>
      </c>
      <c r="CB30" s="170" t="str">
        <f t="shared" si="9"/>
        <v/>
      </c>
      <c r="CC30" s="170" t="str">
        <f t="shared" si="10"/>
        <v>6.6</v>
      </c>
      <c r="CD30" s="142"/>
      <c r="CE30" s="110" t="s">
        <v>7</v>
      </c>
      <c r="CF30" s="70">
        <v>12.3</v>
      </c>
      <c r="CG30" s="102">
        <v>200.444472470411</v>
      </c>
      <c r="CH30" s="70">
        <f t="shared" si="1"/>
        <v>0.77419199999999999</v>
      </c>
      <c r="CI30" s="71">
        <v>1.53101121021577E-2</v>
      </c>
      <c r="CJ30" s="7" t="str">
        <f t="shared" si="21"/>
        <v>NC (6.6)</v>
      </c>
      <c r="CK30" s="100" t="s">
        <v>129</v>
      </c>
      <c r="CL30" s="101">
        <v>1.2689805030822801</v>
      </c>
      <c r="CM30" s="70">
        <v>1.5</v>
      </c>
      <c r="CN30" s="150">
        <v>0.42023621983368192</v>
      </c>
      <c r="CO30" s="146" t="str">
        <f t="shared" si="22"/>
        <v>---</v>
      </c>
      <c r="CP30" s="140" t="str">
        <f t="shared" si="23"/>
        <v>---</v>
      </c>
      <c r="CQ30" s="138">
        <v>0</v>
      </c>
      <c r="CR30" s="102">
        <v>0</v>
      </c>
      <c r="CS30" s="102">
        <v>0</v>
      </c>
      <c r="CT30" s="102">
        <v>0</v>
      </c>
      <c r="CU30" s="102">
        <v>0</v>
      </c>
      <c r="CV30" s="102">
        <v>0</v>
      </c>
      <c r="CW30" s="102">
        <v>3.2782172846070226E-2</v>
      </c>
      <c r="CX30" s="102">
        <v>4.0879991477940095E-2</v>
      </c>
      <c r="CY30" s="102">
        <v>7.0161222450731212E-2</v>
      </c>
      <c r="CZ30" s="102">
        <v>7.7417100387662363E-2</v>
      </c>
      <c r="DA30" s="102">
        <v>0.10244783923381887</v>
      </c>
      <c r="DB30" s="103">
        <v>0.16795491696507711</v>
      </c>
      <c r="DC30" s="100">
        <v>405.044149093285</v>
      </c>
      <c r="DD30" s="100">
        <v>591.02508959116903</v>
      </c>
      <c r="DE30" s="100">
        <v>838.87349397866603</v>
      </c>
      <c r="DF30" s="100">
        <v>405.044149093285</v>
      </c>
      <c r="DG30" s="100">
        <v>591.02508959116903</v>
      </c>
      <c r="DH30" s="100">
        <v>838.87349397866603</v>
      </c>
      <c r="DI30" s="93" t="str">
        <f t="shared" si="34"/>
        <v>Q25</v>
      </c>
      <c r="DJ30" s="102">
        <v>190.553570939145</v>
      </c>
      <c r="DK30" s="102">
        <v>275.83832883877199</v>
      </c>
      <c r="DL30" s="102">
        <v>439.669775697945</v>
      </c>
      <c r="DM30" s="102">
        <v>516.67848212160197</v>
      </c>
      <c r="DN30" s="102">
        <v>557.29131989834104</v>
      </c>
      <c r="DO30" s="103">
        <v>765.70488965789798</v>
      </c>
      <c r="DP30" t="b">
        <f t="shared" si="24"/>
        <v>1</v>
      </c>
      <c r="DQ30" t="s">
        <v>7</v>
      </c>
      <c r="DR30">
        <v>200.444472470411</v>
      </c>
      <c r="EM30" s="164" t="s">
        <v>7</v>
      </c>
      <c r="EN30" s="93" t="str">
        <f t="shared" si="25"/>
        <v>---</v>
      </c>
      <c r="EO30" s="22" t="b">
        <f t="shared" si="2"/>
        <v>1</v>
      </c>
      <c r="EP30" s="4">
        <v>1.5</v>
      </c>
      <c r="EQ30" s="23">
        <v>1.2689805030822801</v>
      </c>
      <c r="ER30" s="59" t="str">
        <f t="shared" si="28"/>
        <v>HE</v>
      </c>
      <c r="ES30" s="69" t="s">
        <v>7</v>
      </c>
      <c r="ET30" s="70">
        <v>0.77419199999999999</v>
      </c>
      <c r="EU30" s="71">
        <v>1.53101121021577E-2</v>
      </c>
      <c r="EV30" s="91" t="s">
        <v>32</v>
      </c>
      <c r="EW30" t="s">
        <v>50</v>
      </c>
      <c r="EX30" s="18" t="s">
        <v>208</v>
      </c>
      <c r="EY30" s="18" t="s">
        <v>208</v>
      </c>
      <c r="EZ30" s="5" t="s">
        <v>1</v>
      </c>
      <c r="FA30" s="59" t="s">
        <v>93</v>
      </c>
      <c r="FB30" s="22"/>
      <c r="FC30" s="22"/>
      <c r="FD30" s="11"/>
      <c r="FE30" s="8">
        <v>1.5741772239918099</v>
      </c>
      <c r="FF30" s="9">
        <v>1.6110843388713301</v>
      </c>
      <c r="FG30" s="9">
        <v>1.7031516239054301</v>
      </c>
      <c r="FH30" s="9">
        <v>1.7468278768605401</v>
      </c>
      <c r="FI30" s="9">
        <v>1.8117381556401799</v>
      </c>
      <c r="FJ30" s="10">
        <v>2.0080060987931199</v>
      </c>
      <c r="FK30" s="14"/>
      <c r="FL30" s="3">
        <v>774.19200000000001</v>
      </c>
      <c r="FM30" s="5">
        <v>25</v>
      </c>
      <c r="FN30" s="5" t="str">
        <f t="shared" si="3"/>
        <v>Q25</v>
      </c>
      <c r="FO30" s="5">
        <v>0</v>
      </c>
      <c r="FP30" s="5"/>
      <c r="FQ30" s="5"/>
      <c r="FR30" s="5"/>
      <c r="FS30" s="69" t="s">
        <v>7</v>
      </c>
      <c r="FT30" s="5"/>
      <c r="FU30" s="5" t="str">
        <f t="shared" si="4"/>
        <v>---</v>
      </c>
      <c r="FV30" s="5"/>
      <c r="FW30" s="5" t="str">
        <f t="shared" si="4"/>
        <v>---</v>
      </c>
      <c r="FX30" s="5"/>
      <c r="FY30" s="4">
        <v>0</v>
      </c>
      <c r="FZ30" s="5"/>
      <c r="GA30" s="5" t="str">
        <f t="shared" si="5"/>
        <v>na</v>
      </c>
      <c r="GC30" t="s">
        <v>7</v>
      </c>
      <c r="GD30">
        <v>190.553570939145</v>
      </c>
      <c r="GE30">
        <v>275.83832883877199</v>
      </c>
      <c r="GF30">
        <v>439.669775697945</v>
      </c>
      <c r="GG30">
        <v>516.67848212160197</v>
      </c>
      <c r="GH30">
        <v>557.29131989834104</v>
      </c>
      <c r="GI30">
        <v>765.70488965789798</v>
      </c>
      <c r="GK30" s="14"/>
      <c r="GL30" s="15">
        <v>1.53101121021577E-2</v>
      </c>
      <c r="GM30">
        <v>405.044149093285</v>
      </c>
      <c r="GN30">
        <v>591.02508959116903</v>
      </c>
      <c r="GO30">
        <v>838.87349397866603</v>
      </c>
      <c r="GP30">
        <v>142.80087605740499</v>
      </c>
      <c r="GQ30">
        <v>193.44004741716699</v>
      </c>
      <c r="GR30">
        <v>273.78908425977897</v>
      </c>
      <c r="GS30">
        <v>317.344646368611</v>
      </c>
      <c r="GT30">
        <v>341.03842922490998</v>
      </c>
      <c r="GU30">
        <v>435.74769237960902</v>
      </c>
      <c r="GV30" s="14"/>
      <c r="GW30" s="14"/>
      <c r="HB30">
        <v>1</v>
      </c>
      <c r="HC30">
        <f t="shared" si="29"/>
        <v>1</v>
      </c>
      <c r="HE30">
        <v>1</v>
      </c>
      <c r="HF30">
        <f t="shared" si="30"/>
        <v>1</v>
      </c>
      <c r="HG30" t="str">
        <f t="shared" si="31"/>
        <v/>
      </c>
      <c r="HH30" t="str">
        <f t="shared" si="6"/>
        <v>Entrenched</v>
      </c>
    </row>
    <row r="31" spans="1:247" s="53" customFormat="1" ht="142.19999999999999" customHeight="1" thickBot="1" x14ac:dyDescent="0.35">
      <c r="A31" s="44"/>
      <c r="B31" s="44"/>
      <c r="C31" s="44"/>
      <c r="D31" s="44"/>
      <c r="E31" s="44"/>
      <c r="F31" s="44"/>
      <c r="G31" s="44"/>
      <c r="H31" s="44"/>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L31" s="44"/>
      <c r="AM31" s="44"/>
      <c r="AN31" s="44"/>
      <c r="AO31" s="44"/>
      <c r="AP31" s="44"/>
      <c r="AQ31" s="44"/>
      <c r="AR31" s="44"/>
      <c r="AS31" s="44"/>
      <c r="AT31" s="44"/>
      <c r="AU31" s="44"/>
      <c r="AV31" s="44" t="s">
        <v>172</v>
      </c>
      <c r="AW31" s="45" t="s">
        <v>179</v>
      </c>
      <c r="AX31" s="45" t="s">
        <v>184</v>
      </c>
      <c r="BA31" s="53" t="s">
        <v>204</v>
      </c>
      <c r="BB31" s="45"/>
      <c r="BC31" s="46"/>
      <c r="BD31" s="45" t="s">
        <v>200</v>
      </c>
      <c r="BE31" s="44" t="s">
        <v>174</v>
      </c>
      <c r="BF31" s="44" t="s">
        <v>173</v>
      </c>
      <c r="BG31" s="44" t="s">
        <v>177</v>
      </c>
      <c r="BH31" s="44"/>
      <c r="BI31" s="44"/>
      <c r="BJ31" s="44"/>
      <c r="BK31" s="44"/>
      <c r="BL31" s="61" t="s">
        <v>181</v>
      </c>
      <c r="BM31" s="44" t="s">
        <v>203</v>
      </c>
      <c r="BN31" s="44"/>
      <c r="BO31" s="44"/>
      <c r="BQ31" s="44" t="s">
        <v>168</v>
      </c>
      <c r="BR31" s="44"/>
      <c r="BS31" s="44"/>
      <c r="BT31" s="44"/>
      <c r="BU31" s="44"/>
      <c r="BV31" s="44" t="s">
        <v>202</v>
      </c>
      <c r="BW31" s="44"/>
      <c r="BX31" s="44"/>
      <c r="BY31" s="44"/>
      <c r="BZ31" s="44"/>
      <c r="CA31" s="170">
        <f t="shared" si="8"/>
        <v>0</v>
      </c>
      <c r="CB31" s="170" t="str">
        <f t="shared" si="9"/>
        <v>.0</v>
      </c>
      <c r="CC31" s="170" t="str">
        <f t="shared" si="10"/>
        <v>.0</v>
      </c>
      <c r="CD31" s="44"/>
      <c r="CE31" s="219" t="s">
        <v>278</v>
      </c>
      <c r="CF31" s="220"/>
      <c r="CG31" s="220"/>
      <c r="CH31" s="220"/>
      <c r="CI31" s="220"/>
      <c r="CJ31" s="220"/>
      <c r="CK31" s="220"/>
      <c r="CL31" s="220"/>
      <c r="CM31" s="220"/>
      <c r="CN31" s="220"/>
      <c r="CO31" s="220"/>
      <c r="CP31" s="221"/>
      <c r="CQ31" s="219" t="s">
        <v>271</v>
      </c>
      <c r="CR31" s="220"/>
      <c r="CS31" s="220"/>
      <c r="CT31" s="220"/>
      <c r="CU31" s="220"/>
      <c r="CV31" s="220"/>
      <c r="CW31" s="220"/>
      <c r="CX31" s="220"/>
      <c r="CY31" s="220"/>
      <c r="CZ31" s="220"/>
      <c r="DA31" s="220"/>
      <c r="DB31" s="221"/>
      <c r="DC31" s="219" t="s">
        <v>272</v>
      </c>
      <c r="DD31" s="220"/>
      <c r="DE31" s="220"/>
      <c r="DF31" s="220"/>
      <c r="DG31" s="220"/>
      <c r="DH31" s="220"/>
      <c r="DI31" s="220"/>
      <c r="DJ31" s="220"/>
      <c r="DK31" s="220"/>
      <c r="DL31" s="220"/>
      <c r="DM31" s="220"/>
      <c r="DN31" s="220"/>
      <c r="DO31" s="221"/>
      <c r="DP31" t="b">
        <f t="shared" si="24"/>
        <v>0</v>
      </c>
      <c r="DQ31"/>
      <c r="DR31"/>
      <c r="EO31" s="62"/>
      <c r="EP31" s="22"/>
      <c r="EQ31" s="22"/>
      <c r="ER31" s="22"/>
      <c r="ES31" s="22"/>
      <c r="ET31" s="22"/>
      <c r="EU31" s="22"/>
      <c r="EV31" s="22"/>
      <c r="EW31" s="22"/>
      <c r="EX31" s="22"/>
      <c r="EY31" s="22"/>
      <c r="EZ31" s="22"/>
      <c r="FA31" s="22"/>
      <c r="FB31" s="62"/>
      <c r="FC31" s="62"/>
      <c r="FD31" s="63"/>
      <c r="FE31" s="46"/>
      <c r="FF31" s="46"/>
      <c r="FG31" s="46"/>
      <c r="FH31" s="46"/>
      <c r="FI31" s="46"/>
      <c r="FJ31" s="46"/>
      <c r="FK31" s="64"/>
      <c r="FM31" s="44"/>
      <c r="FN31" s="44"/>
      <c r="FO31" s="44"/>
      <c r="FP31" s="44"/>
      <c r="FQ31" s="44"/>
      <c r="FR31" s="44"/>
      <c r="FT31" s="44"/>
      <c r="FU31" s="44"/>
      <c r="FV31" s="44"/>
      <c r="FW31" s="44"/>
      <c r="FX31" s="44"/>
      <c r="FY31" s="46"/>
      <c r="FZ31" s="44"/>
      <c r="GA31" s="44"/>
      <c r="GB31" s="44"/>
      <c r="GJ31" s="44"/>
      <c r="GK31" s="64"/>
      <c r="GL31" s="65"/>
      <c r="GV31" s="64"/>
      <c r="GW31" s="64"/>
      <c r="HA31" s="162"/>
      <c r="HE31" s="219" t="s">
        <v>265</v>
      </c>
      <c r="HF31" s="220"/>
      <c r="HG31" s="220"/>
      <c r="HH31" s="220"/>
      <c r="HI31" s="220"/>
      <c r="HJ31" s="220"/>
      <c r="HK31" s="220"/>
      <c r="HL31" s="220"/>
      <c r="HM31" s="220"/>
      <c r="HN31" s="220"/>
      <c r="HO31" s="220"/>
      <c r="HP31" s="220"/>
      <c r="HQ31" s="220"/>
      <c r="HR31" s="220"/>
      <c r="HS31" s="220"/>
      <c r="HT31" s="220"/>
      <c r="HU31" s="220"/>
      <c r="HV31" s="220"/>
      <c r="HW31" s="220"/>
      <c r="HX31" s="220"/>
      <c r="HY31" s="220"/>
      <c r="HZ31" s="220"/>
      <c r="IA31" s="220"/>
      <c r="IB31" s="220"/>
      <c r="IC31" s="220"/>
      <c r="ID31" s="220"/>
      <c r="IE31" s="220"/>
      <c r="IF31" s="220"/>
      <c r="IG31" s="220"/>
      <c r="IH31" s="220"/>
      <c r="II31" s="220"/>
      <c r="IJ31" s="220"/>
      <c r="IK31" s="220"/>
      <c r="IL31" s="220"/>
      <c r="IM31" s="221"/>
    </row>
    <row r="32" spans="1:247" s="53" customFormat="1" ht="409.6" x14ac:dyDescent="0.3">
      <c r="A32" s="44"/>
      <c r="B32" s="44"/>
      <c r="C32" s="44"/>
      <c r="D32" s="44"/>
      <c r="E32" s="44"/>
      <c r="F32" s="44"/>
      <c r="G32" s="44"/>
      <c r="H32" s="44"/>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52"/>
      <c r="AR32" s="44"/>
      <c r="AS32" s="44"/>
      <c r="AT32" s="44"/>
      <c r="AU32" s="44"/>
      <c r="AV32" s="44"/>
      <c r="AW32" s="52" t="s">
        <v>183</v>
      </c>
      <c r="AX32" s="44"/>
      <c r="AY32" s="45"/>
      <c r="AZ32" s="45"/>
      <c r="BA32" s="47"/>
      <c r="BB32" s="45"/>
      <c r="BC32" s="48"/>
      <c r="BD32" s="47"/>
      <c r="BE32" s="232" t="s">
        <v>178</v>
      </c>
      <c r="BF32" s="232"/>
      <c r="BG32" s="44"/>
      <c r="BH32" s="44"/>
      <c r="BI32" s="44"/>
      <c r="BJ32" s="44"/>
      <c r="BK32" s="44"/>
      <c r="BL32" s="61"/>
      <c r="BM32" s="44" t="s">
        <v>180</v>
      </c>
      <c r="BN32" s="44"/>
      <c r="BO32" s="44"/>
      <c r="BQ32" s="44" t="s">
        <v>201</v>
      </c>
      <c r="BR32" s="44"/>
      <c r="BS32" s="44"/>
      <c r="BT32" s="44"/>
      <c r="BU32" s="44"/>
      <c r="BV32" s="44"/>
      <c r="BW32" s="52" t="s">
        <v>183</v>
      </c>
      <c r="BX32" s="44"/>
      <c r="BY32" s="44"/>
      <c r="BZ32" s="44"/>
      <c r="CA32" s="170">
        <f t="shared" si="8"/>
        <v>0</v>
      </c>
      <c r="CB32" s="170" t="str">
        <f t="shared" si="9"/>
        <v>.0</v>
      </c>
      <c r="CC32" s="170" t="str">
        <f t="shared" si="10"/>
        <v>.0</v>
      </c>
      <c r="CD32" s="44"/>
      <c r="CH32" s="46"/>
      <c r="CI32" s="60"/>
      <c r="CJ32" s="52" t="s">
        <v>183</v>
      </c>
      <c r="CK32" s="44"/>
      <c r="CL32" s="45"/>
      <c r="CM32" s="45"/>
      <c r="CO32" s="151"/>
      <c r="CP32" s="44"/>
      <c r="CQ32" s="62"/>
      <c r="CR32" s="62"/>
      <c r="CS32" s="62"/>
      <c r="CT32" s="62"/>
      <c r="CU32" s="62"/>
      <c r="CV32" s="62"/>
      <c r="CW32" s="62"/>
      <c r="CX32" s="62"/>
      <c r="CY32" s="62"/>
      <c r="CZ32" s="62"/>
      <c r="DA32" s="62"/>
      <c r="DB32" s="62">
        <f>MEDIAN(DB6:DB30)</f>
        <v>0.9367625332253755</v>
      </c>
      <c r="DJ32" s="62"/>
      <c r="DK32" s="62"/>
      <c r="DL32" s="62"/>
      <c r="DM32" s="62"/>
      <c r="DN32" s="62"/>
      <c r="DO32" s="62"/>
      <c r="DP32" t="b">
        <f t="shared" si="24"/>
        <v>1</v>
      </c>
      <c r="DQ32"/>
      <c r="DR32"/>
      <c r="EN32" s="44"/>
      <c r="EO32" s="62"/>
      <c r="EP32" s="22"/>
      <c r="EQ32" s="22"/>
      <c r="ER32" s="22"/>
      <c r="ES32" s="22"/>
      <c r="ET32" s="22"/>
      <c r="EU32" s="22"/>
      <c r="EV32" s="22"/>
      <c r="EW32" s="22"/>
      <c r="EX32" s="22"/>
      <c r="EY32" s="22"/>
      <c r="EZ32" s="22"/>
      <c r="FA32" s="22"/>
      <c r="FB32" s="62"/>
      <c r="FC32" s="62"/>
      <c r="FD32" s="63"/>
      <c r="FE32" s="46"/>
      <c r="FF32" s="46"/>
      <c r="FG32" s="46"/>
      <c r="FH32" s="46"/>
      <c r="FI32" s="46"/>
      <c r="FJ32" s="46"/>
      <c r="FK32" s="64"/>
      <c r="FM32" s="44"/>
      <c r="FN32" s="44"/>
      <c r="FO32" s="44"/>
      <c r="FP32" s="44"/>
      <c r="FQ32" s="44"/>
      <c r="FR32" s="44"/>
      <c r="FT32" s="44"/>
      <c r="FU32" s="44"/>
      <c r="FV32" s="44"/>
      <c r="FW32" s="44"/>
      <c r="FX32" s="44"/>
      <c r="FY32" s="46"/>
      <c r="FZ32" s="44"/>
      <c r="GA32" s="44"/>
      <c r="GB32" s="44"/>
      <c r="GJ32" s="44"/>
      <c r="GK32" s="64"/>
      <c r="GL32" s="65"/>
      <c r="GV32" s="64"/>
      <c r="GW32" s="64"/>
    </row>
    <row r="33" spans="1:205" s="53" customFormat="1" ht="72" x14ac:dyDescent="0.3">
      <c r="A33" s="44"/>
      <c r="B33" s="44"/>
      <c r="C33" s="44"/>
      <c r="D33" s="44"/>
      <c r="E33" s="44"/>
      <c r="F33" s="44"/>
      <c r="G33" s="44"/>
      <c r="H33" s="44"/>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5"/>
      <c r="AX33" s="44"/>
      <c r="AY33" s="45"/>
      <c r="AZ33" s="45"/>
      <c r="BA33" s="47"/>
      <c r="BB33" s="45"/>
      <c r="BC33" s="48"/>
      <c r="BD33" s="47"/>
      <c r="BE33" s="44"/>
      <c r="BF33" s="44" t="s">
        <v>175</v>
      </c>
      <c r="BG33" s="44"/>
      <c r="BH33" s="44"/>
      <c r="BI33" s="44"/>
      <c r="BJ33" s="44"/>
      <c r="BK33" s="44"/>
      <c r="BL33" s="61"/>
      <c r="BM33" s="44"/>
      <c r="BN33" s="44"/>
      <c r="BO33" s="44"/>
      <c r="BP33" s="44"/>
      <c r="BQ33" s="66"/>
      <c r="BR33" s="44"/>
      <c r="BS33" s="44"/>
      <c r="BT33" s="44"/>
      <c r="BU33" s="44"/>
      <c r="BV33" s="44"/>
      <c r="BW33" s="45"/>
      <c r="BX33" s="44"/>
      <c r="BY33" s="44"/>
      <c r="BZ33" s="44"/>
      <c r="CA33" s="170">
        <f t="shared" si="8"/>
        <v>0</v>
      </c>
      <c r="CB33" s="170" t="str">
        <f t="shared" si="9"/>
        <v>.0</v>
      </c>
      <c r="CC33" s="170" t="str">
        <f t="shared" si="10"/>
        <v>.0</v>
      </c>
      <c r="CD33" s="44"/>
      <c r="CH33" s="46"/>
      <c r="CI33" s="60"/>
      <c r="CJ33" s="45"/>
      <c r="CK33" s="44"/>
      <c r="CL33" s="45"/>
      <c r="CM33" s="45"/>
      <c r="CO33" s="87"/>
      <c r="CP33" s="44"/>
      <c r="CQ33" s="62"/>
      <c r="CR33" s="62"/>
      <c r="CS33" s="62"/>
      <c r="CT33" s="62"/>
      <c r="CU33" s="62"/>
      <c r="CV33" s="62"/>
      <c r="CW33" s="62"/>
      <c r="CX33" s="62"/>
      <c r="CY33" s="62"/>
      <c r="CZ33" s="62"/>
      <c r="DA33" s="62"/>
      <c r="DB33" s="62"/>
      <c r="DJ33" s="62"/>
      <c r="DK33" s="62"/>
      <c r="DL33" s="62"/>
      <c r="DM33" s="62"/>
      <c r="DN33" s="62"/>
      <c r="DO33" s="62"/>
      <c r="DQ33"/>
      <c r="DR33"/>
      <c r="EN33" s="44"/>
      <c r="EO33" s="62"/>
      <c r="EP33" s="22"/>
      <c r="EQ33" s="22"/>
      <c r="ER33" s="22"/>
      <c r="ES33" s="22"/>
      <c r="ET33" s="22"/>
      <c r="EU33" s="22"/>
      <c r="EV33" s="22"/>
      <c r="EW33" s="22"/>
      <c r="EX33" s="22"/>
      <c r="EY33" s="22"/>
      <c r="EZ33" s="22"/>
      <c r="FA33" s="22"/>
      <c r="FB33" s="62"/>
      <c r="FC33" s="62"/>
      <c r="FD33" s="63"/>
      <c r="FE33" s="46"/>
      <c r="FF33" s="46"/>
      <c r="FG33" s="46"/>
      <c r="FH33" s="46"/>
      <c r="FI33" s="46"/>
      <c r="FJ33" s="46"/>
      <c r="FK33" s="64"/>
      <c r="FM33" s="44"/>
      <c r="FN33" s="44"/>
      <c r="FO33" s="44"/>
      <c r="FP33" s="44"/>
      <c r="FQ33" s="44"/>
      <c r="FR33" s="44"/>
      <c r="FT33" s="44"/>
      <c r="FU33" s="44"/>
      <c r="FV33" s="44"/>
      <c r="FW33" s="44"/>
      <c r="FX33" s="44"/>
      <c r="FY33" s="46"/>
      <c r="FZ33" s="44"/>
      <c r="GA33" s="44"/>
      <c r="GB33" s="44"/>
      <c r="GJ33" s="44"/>
      <c r="GK33" s="64"/>
      <c r="GL33" s="65"/>
      <c r="GV33" s="64"/>
      <c r="GW33" s="64"/>
    </row>
    <row r="34" spans="1:205" s="53" customFormat="1" ht="100.8" x14ac:dyDescent="0.3">
      <c r="A34" s="49"/>
      <c r="B34" s="49"/>
      <c r="C34" s="49"/>
      <c r="D34" s="49"/>
      <c r="E34" s="49"/>
      <c r="F34" s="49"/>
      <c r="G34" s="49"/>
      <c r="H34" s="49"/>
      <c r="I34" s="49"/>
      <c r="J34" s="49"/>
      <c r="K34" s="49"/>
      <c r="L34" s="49"/>
      <c r="M34" s="49"/>
      <c r="N34" s="49"/>
      <c r="O34" s="49"/>
      <c r="P34" s="49"/>
      <c r="Q34" s="49"/>
      <c r="R34" s="49"/>
      <c r="S34" s="49"/>
      <c r="T34" s="49"/>
      <c r="U34" s="49"/>
      <c r="V34" s="49"/>
      <c r="W34" s="49"/>
      <c r="X34" s="49"/>
      <c r="Y34" s="49"/>
      <c r="Z34" s="49"/>
      <c r="AA34" s="49"/>
      <c r="AB34" s="49"/>
      <c r="AC34" s="49"/>
      <c r="AD34" s="49"/>
      <c r="AE34" s="49"/>
      <c r="AF34" s="49"/>
      <c r="AG34" s="49"/>
      <c r="AH34" s="49"/>
      <c r="AI34" s="49"/>
      <c r="AJ34" s="49"/>
      <c r="AK34" s="49"/>
      <c r="AQ34" s="49"/>
      <c r="AR34" s="49"/>
      <c r="AS34" s="49"/>
      <c r="AT34" s="49"/>
      <c r="AU34" s="49"/>
      <c r="AV34" s="49"/>
      <c r="AX34" s="49"/>
      <c r="BA34" s="47"/>
      <c r="BC34" s="48"/>
      <c r="BD34" s="47"/>
      <c r="BF34" s="53" t="s">
        <v>176</v>
      </c>
      <c r="BH34" s="49"/>
      <c r="BI34" s="49"/>
      <c r="BJ34" s="49"/>
      <c r="BK34" s="49"/>
      <c r="BL34" s="50"/>
      <c r="BM34" s="49"/>
      <c r="BN34" s="49"/>
      <c r="BO34" s="49"/>
      <c r="BP34" s="49"/>
      <c r="BQ34" s="51"/>
      <c r="BR34" s="49"/>
      <c r="BS34" s="49"/>
      <c r="BT34" s="49"/>
      <c r="BU34" s="49"/>
      <c r="BV34" s="49"/>
      <c r="BX34" s="49"/>
      <c r="BY34" s="49"/>
      <c r="BZ34" s="49"/>
      <c r="CA34" s="170">
        <f t="shared" si="8"/>
        <v>0</v>
      </c>
      <c r="CB34" s="170" t="str">
        <f t="shared" si="9"/>
        <v>.0</v>
      </c>
      <c r="CC34" s="170" t="str">
        <f t="shared" si="10"/>
        <v>.0</v>
      </c>
      <c r="CD34" s="49"/>
      <c r="CE34" s="49"/>
      <c r="CF34" s="49"/>
      <c r="CG34" s="49"/>
      <c r="CH34" s="49"/>
      <c r="CI34" s="49"/>
      <c r="CK34" s="49"/>
      <c r="CN34" s="49"/>
      <c r="CO34" s="87"/>
      <c r="CP34" s="49"/>
      <c r="CQ34" s="49"/>
      <c r="CR34" s="49"/>
      <c r="CS34" s="49"/>
      <c r="CT34" s="49"/>
      <c r="DQ34"/>
      <c r="DR34"/>
      <c r="EN34" s="49"/>
      <c r="EP34" s="22"/>
      <c r="EQ34" s="22"/>
      <c r="ER34" s="22"/>
      <c r="ES34" s="22"/>
      <c r="ET34" s="22"/>
      <c r="EU34" s="22"/>
      <c r="EV34" s="22"/>
      <c r="EW34" s="22"/>
      <c r="EX34" s="22"/>
      <c r="EY34" s="22"/>
      <c r="EZ34" s="22"/>
      <c r="FA34" s="22"/>
      <c r="FE34" s="49"/>
      <c r="FF34" s="49"/>
      <c r="FG34" s="49"/>
      <c r="FH34" s="49"/>
      <c r="FI34" s="49"/>
      <c r="FJ34" s="49"/>
      <c r="FL34" s="49"/>
      <c r="FM34" s="49"/>
      <c r="FN34" s="49"/>
      <c r="FO34" s="49"/>
      <c r="FP34" s="49"/>
      <c r="FQ34" s="49"/>
      <c r="FR34" s="49"/>
      <c r="FT34" s="49"/>
      <c r="FU34" s="49"/>
      <c r="FV34" s="49"/>
      <c r="FW34" s="49"/>
      <c r="FX34" s="49"/>
      <c r="FY34" s="49"/>
      <c r="FZ34" s="49"/>
      <c r="GA34" s="49"/>
      <c r="GB34" s="49"/>
      <c r="GC34" s="49"/>
      <c r="GD34" s="49"/>
      <c r="GE34" s="49"/>
      <c r="GF34" s="49"/>
      <c r="GG34" s="49"/>
      <c r="GH34" s="49"/>
      <c r="GI34" s="49"/>
      <c r="GJ34" s="49"/>
    </row>
    <row r="35" spans="1:205" s="1" customFormat="1" x14ac:dyDescent="0.3">
      <c r="A35" s="39"/>
      <c r="B35" s="39"/>
      <c r="C35" s="39"/>
      <c r="D35" s="39"/>
      <c r="E35" s="39"/>
      <c r="F35" s="39"/>
      <c r="G35" s="39"/>
      <c r="H35" s="39"/>
      <c r="I35" s="39"/>
      <c r="J35" s="39"/>
      <c r="K35" s="39"/>
      <c r="L35" s="39"/>
      <c r="M35" s="39"/>
      <c r="N35" s="39"/>
      <c r="O35" s="39"/>
      <c r="P35" s="39"/>
      <c r="Q35" s="39"/>
      <c r="R35" s="39"/>
      <c r="S35" s="39"/>
      <c r="T35" s="39"/>
      <c r="U35" s="39"/>
      <c r="V35" s="39"/>
      <c r="W35" s="39"/>
      <c r="X35" s="39"/>
      <c r="Y35" s="39"/>
      <c r="Z35" s="39"/>
      <c r="AA35" s="39"/>
      <c r="AB35" s="39"/>
      <c r="AC35" s="39"/>
      <c r="AD35" s="39"/>
      <c r="AE35" s="39"/>
      <c r="AF35" s="39"/>
      <c r="AG35" s="39"/>
      <c r="AH35" s="39"/>
      <c r="AI35" s="39"/>
      <c r="AJ35" s="39"/>
      <c r="AK35" s="39"/>
      <c r="AQ35" s="39"/>
      <c r="AR35" s="39"/>
      <c r="AS35" s="39"/>
      <c r="AT35" s="39"/>
      <c r="AU35" s="39"/>
      <c r="AV35" s="39"/>
      <c r="AX35" s="39"/>
      <c r="BH35" s="39"/>
      <c r="BI35" s="39"/>
      <c r="BJ35" s="39"/>
      <c r="BK35" s="39"/>
      <c r="BL35" s="40"/>
      <c r="BM35" s="39"/>
      <c r="BN35" s="39"/>
      <c r="BO35" s="39"/>
      <c r="BP35" s="39"/>
      <c r="BQ35" s="41"/>
      <c r="BR35" s="39"/>
      <c r="BS35" s="39"/>
      <c r="BT35" s="39"/>
      <c r="BU35" s="39"/>
      <c r="BV35" s="39"/>
      <c r="BX35" s="39"/>
      <c r="BY35" s="39"/>
      <c r="BZ35" s="39"/>
      <c r="CA35" s="39"/>
      <c r="CB35" s="39"/>
      <c r="CC35" s="39"/>
      <c r="CD35" s="39"/>
      <c r="CE35" s="39"/>
      <c r="CF35" s="39"/>
      <c r="CG35" s="39"/>
      <c r="CH35" s="39"/>
      <c r="CI35" s="39"/>
      <c r="CK35" s="39"/>
      <c r="CN35" s="39"/>
      <c r="CO35" s="87"/>
      <c r="CP35" s="39"/>
      <c r="CQ35" s="39"/>
      <c r="CR35" s="39"/>
      <c r="CS35" s="39"/>
      <c r="CT35" s="39"/>
      <c r="DQ35"/>
      <c r="DR35"/>
      <c r="EN35" s="39"/>
      <c r="EP35" s="22"/>
      <c r="EQ35" s="22"/>
      <c r="ER35" s="22"/>
      <c r="ES35" s="22"/>
      <c r="ET35" s="22"/>
      <c r="EU35" s="22"/>
      <c r="EV35" s="22"/>
      <c r="EW35" s="22"/>
      <c r="EX35" s="22"/>
      <c r="EY35" s="22"/>
      <c r="EZ35" s="22"/>
      <c r="FA35" s="22"/>
      <c r="FE35" s="39"/>
      <c r="FF35" s="39"/>
      <c r="FG35" s="39"/>
      <c r="FH35" s="39"/>
      <c r="FI35" s="39"/>
      <c r="FJ35" s="39"/>
      <c r="FL35" s="39"/>
      <c r="FM35" s="39"/>
      <c r="FN35" s="39"/>
      <c r="FO35" s="39"/>
      <c r="FP35" s="39"/>
      <c r="FQ35" s="39"/>
      <c r="FR35" s="39"/>
      <c r="FT35" s="39"/>
      <c r="FU35" s="39"/>
      <c r="FV35" s="39"/>
      <c r="FW35" s="39"/>
      <c r="FX35" s="39"/>
      <c r="FY35" s="39"/>
      <c r="FZ35" s="39"/>
      <c r="GA35" s="39"/>
      <c r="GB35" s="39"/>
      <c r="GC35" s="39"/>
      <c r="GD35" s="39"/>
      <c r="GE35" s="39"/>
      <c r="GF35" s="39"/>
      <c r="GG35" s="39"/>
      <c r="GH35" s="39"/>
      <c r="GI35" s="39"/>
      <c r="GJ35" s="39"/>
    </row>
    <row r="36" spans="1:205" s="1" customFormat="1" x14ac:dyDescent="0.3">
      <c r="A36" s="39"/>
      <c r="B36" s="39"/>
      <c r="C36" s="39"/>
      <c r="D36" s="39"/>
      <c r="E36" s="39"/>
      <c r="F36" s="39"/>
      <c r="G36" s="39"/>
      <c r="H36" s="39"/>
      <c r="I36" s="39"/>
      <c r="J36" s="39"/>
      <c r="K36" s="39"/>
      <c r="L36" s="39"/>
      <c r="M36" s="39"/>
      <c r="N36" s="39"/>
      <c r="O36" s="39"/>
      <c r="P36" s="39"/>
      <c r="Q36" s="39"/>
      <c r="R36" s="39"/>
      <c r="S36" s="39"/>
      <c r="T36" s="39"/>
      <c r="U36" s="39"/>
      <c r="V36" s="39"/>
      <c r="W36" s="39"/>
      <c r="X36" s="39"/>
      <c r="Y36" s="39"/>
      <c r="Z36" s="39"/>
      <c r="AA36" s="39"/>
      <c r="AB36" s="39"/>
      <c r="AC36" s="39"/>
      <c r="AD36" s="39"/>
      <c r="AE36" s="39"/>
      <c r="AF36" s="39"/>
      <c r="AG36" s="39"/>
      <c r="AH36" s="39"/>
      <c r="AI36" s="39"/>
      <c r="AJ36" s="39"/>
      <c r="AK36" s="39"/>
      <c r="AQ36" s="39"/>
      <c r="AR36" s="39"/>
      <c r="AS36" s="39"/>
      <c r="AT36" s="39"/>
      <c r="AU36" s="39"/>
      <c r="AV36" s="39"/>
      <c r="AX36" s="39"/>
      <c r="BH36" s="39"/>
      <c r="BI36" s="39"/>
      <c r="BJ36" s="39"/>
      <c r="BK36" s="39"/>
      <c r="BL36" s="40"/>
      <c r="BM36" s="39"/>
      <c r="BN36" s="39"/>
      <c r="BO36" s="39"/>
      <c r="BP36" s="39"/>
      <c r="BQ36" s="41"/>
      <c r="BR36" s="39"/>
      <c r="BS36" s="39"/>
      <c r="BT36" s="39"/>
      <c r="BU36" s="39"/>
      <c r="BV36" s="39"/>
      <c r="BX36" s="39"/>
      <c r="BY36" s="39"/>
      <c r="BZ36" s="39"/>
      <c r="CA36" s="39"/>
      <c r="CB36" s="39"/>
      <c r="CC36" s="39"/>
      <c r="CD36" s="39"/>
      <c r="CE36" s="39"/>
      <c r="CF36" s="39"/>
      <c r="CG36" s="39"/>
      <c r="CH36" s="39"/>
      <c r="CI36" s="39"/>
      <c r="CK36" s="39"/>
      <c r="CN36" s="39"/>
      <c r="CO36" s="87"/>
      <c r="CP36" s="39"/>
      <c r="CQ36" s="39"/>
      <c r="CR36" s="39"/>
      <c r="CS36" s="39"/>
      <c r="CT36" s="39"/>
      <c r="DA36" s="1">
        <f>6/23</f>
        <v>0.2608695652173913</v>
      </c>
      <c r="DQ36"/>
      <c r="DR36"/>
      <c r="EN36" s="39"/>
      <c r="EP36" s="22"/>
      <c r="EQ36" s="22"/>
      <c r="ER36" s="22"/>
      <c r="ES36" s="22"/>
      <c r="ET36" s="22"/>
      <c r="EU36" s="22"/>
      <c r="EV36" s="22"/>
      <c r="EW36" s="22"/>
      <c r="EX36" s="22"/>
      <c r="EY36" s="22"/>
      <c r="EZ36" s="22"/>
      <c r="FA36" s="22"/>
      <c r="FE36" s="39"/>
      <c r="FF36" s="39"/>
      <c r="FG36" s="39"/>
      <c r="FH36" s="39"/>
      <c r="FI36" s="39"/>
      <c r="FJ36" s="39"/>
      <c r="FL36" s="39"/>
      <c r="FM36" s="39"/>
      <c r="FN36" s="39"/>
      <c r="FO36" s="39"/>
      <c r="FP36" s="39"/>
      <c r="FQ36" s="39"/>
      <c r="FR36" s="39"/>
      <c r="FT36" s="39"/>
      <c r="FU36" s="39"/>
      <c r="FV36" s="39"/>
      <c r="FW36" s="39"/>
      <c r="FX36" s="39"/>
      <c r="FY36" s="39"/>
      <c r="FZ36" s="39"/>
      <c r="GA36" s="39"/>
      <c r="GB36" s="39"/>
      <c r="GC36" s="39"/>
      <c r="GD36" s="39"/>
      <c r="GE36" s="39"/>
      <c r="GF36" s="39"/>
      <c r="GG36" s="39"/>
      <c r="GH36" s="39"/>
      <c r="GI36" s="39"/>
      <c r="GJ36" s="39"/>
    </row>
    <row r="37" spans="1:205" s="1" customFormat="1" x14ac:dyDescent="0.3">
      <c r="A37" s="39"/>
      <c r="B37" s="39"/>
      <c r="C37" s="39"/>
      <c r="D37" s="39"/>
      <c r="E37" s="39"/>
      <c r="F37" s="39"/>
      <c r="G37" s="39"/>
      <c r="H37" s="39"/>
      <c r="I37" s="39"/>
      <c r="J37" s="39"/>
      <c r="K37" s="39"/>
      <c r="L37" s="39"/>
      <c r="M37" s="39"/>
      <c r="N37" s="39"/>
      <c r="O37" s="39"/>
      <c r="P37" s="39"/>
      <c r="Q37" s="39"/>
      <c r="R37" s="39"/>
      <c r="S37" s="39"/>
      <c r="T37" s="39"/>
      <c r="U37" s="39"/>
      <c r="V37" s="39"/>
      <c r="W37" s="39"/>
      <c r="X37" s="39"/>
      <c r="Y37" s="39"/>
      <c r="Z37" s="39"/>
      <c r="AA37" s="39"/>
      <c r="AB37" s="39"/>
      <c r="AC37" s="39"/>
      <c r="AD37" s="39"/>
      <c r="AE37" s="39"/>
      <c r="AF37" s="39"/>
      <c r="AG37" s="39"/>
      <c r="AH37" s="39"/>
      <c r="AI37" s="39"/>
      <c r="AJ37" s="39"/>
      <c r="AK37" s="39"/>
      <c r="AQ37" s="39"/>
      <c r="AR37" s="39"/>
      <c r="AS37" s="39"/>
      <c r="AT37" s="39"/>
      <c r="AU37" s="39"/>
      <c r="AV37" s="39"/>
      <c r="AX37" s="39"/>
      <c r="BH37" s="39"/>
      <c r="BI37" s="39"/>
      <c r="BJ37" s="39"/>
      <c r="BK37" s="39"/>
      <c r="BL37" s="40"/>
      <c r="BM37" s="39"/>
      <c r="BN37" s="39"/>
      <c r="BO37" s="39"/>
      <c r="BP37" s="39"/>
      <c r="BQ37" s="41"/>
      <c r="BR37" s="39"/>
      <c r="BS37" s="39"/>
      <c r="BT37" s="39"/>
      <c r="BU37" s="39"/>
      <c r="BV37" s="39"/>
      <c r="BX37" s="39"/>
      <c r="BY37" s="39"/>
      <c r="BZ37" s="39"/>
      <c r="CA37" s="39"/>
      <c r="CB37" s="39"/>
      <c r="CC37" s="39"/>
      <c r="CD37" s="39"/>
      <c r="CE37" s="39"/>
      <c r="CF37" s="39"/>
      <c r="CG37" s="39"/>
      <c r="CH37" s="39"/>
      <c r="CI37" s="39"/>
      <c r="CK37" s="39"/>
      <c r="CN37" s="39"/>
      <c r="CO37" s="87"/>
      <c r="CP37" s="39"/>
      <c r="CQ37" s="39"/>
      <c r="CR37" s="39"/>
      <c r="CS37" s="39"/>
      <c r="CT37" s="39"/>
      <c r="DQ37" s="53"/>
      <c r="DR37" s="53"/>
      <c r="EN37" s="39"/>
      <c r="EP37" s="22"/>
      <c r="EQ37" s="22"/>
      <c r="ER37" s="22"/>
      <c r="ES37" s="22"/>
      <c r="ET37" s="22"/>
      <c r="EU37" s="22"/>
      <c r="EV37" s="22"/>
      <c r="EW37" s="22"/>
      <c r="EX37" s="22"/>
      <c r="EY37" s="22"/>
      <c r="EZ37" s="22"/>
      <c r="FA37" s="22"/>
      <c r="FE37" s="39"/>
      <c r="FF37" s="39"/>
      <c r="FG37" s="39"/>
      <c r="FH37" s="39"/>
      <c r="FI37" s="39"/>
      <c r="FJ37" s="39"/>
      <c r="FL37" s="39"/>
      <c r="FM37" s="39"/>
      <c r="FN37" s="39"/>
      <c r="FO37" s="39"/>
      <c r="FP37" s="39"/>
      <c r="FQ37" s="39"/>
      <c r="FR37" s="39"/>
      <c r="FT37" s="39"/>
      <c r="FU37" s="39"/>
      <c r="FV37" s="39"/>
      <c r="FW37" s="39"/>
      <c r="FX37" s="39"/>
      <c r="FY37" s="39"/>
      <c r="FZ37" s="39"/>
      <c r="GA37" s="39"/>
      <c r="GB37" s="39"/>
      <c r="GC37" s="39"/>
      <c r="GD37" s="39"/>
      <c r="GE37" s="39"/>
      <c r="GF37" s="39"/>
      <c r="GG37" s="39"/>
      <c r="GH37" s="39"/>
      <c r="GI37" s="39"/>
      <c r="GJ37" s="39"/>
    </row>
    <row r="38" spans="1:205" s="1" customFormat="1" x14ac:dyDescent="0.3">
      <c r="A38" s="39"/>
      <c r="B38" s="39"/>
      <c r="C38" s="39"/>
      <c r="D38" s="39"/>
      <c r="E38" s="39"/>
      <c r="F38" s="39"/>
      <c r="G38" s="39"/>
      <c r="H38" s="39"/>
      <c r="I38" s="39"/>
      <c r="J38" s="39"/>
      <c r="K38" s="39"/>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Q38" s="39"/>
      <c r="AR38" s="39"/>
      <c r="AS38" s="39"/>
      <c r="AT38" s="39"/>
      <c r="AU38" s="39"/>
      <c r="AV38" s="39"/>
      <c r="AX38" s="39"/>
      <c r="BH38" s="39"/>
      <c r="BI38" s="39"/>
      <c r="BJ38" s="39"/>
      <c r="BK38" s="39"/>
      <c r="BL38" s="40"/>
      <c r="BM38" s="39"/>
      <c r="BN38" s="39"/>
      <c r="BO38" s="39"/>
      <c r="BP38" s="39"/>
      <c r="BQ38" s="41"/>
      <c r="BR38" s="39"/>
      <c r="BS38" s="39"/>
      <c r="BT38" s="39"/>
      <c r="BU38" s="39"/>
      <c r="BV38" s="39"/>
      <c r="BX38" s="39"/>
      <c r="BY38" s="39"/>
      <c r="BZ38" s="39"/>
      <c r="CA38" s="39"/>
      <c r="CB38" s="39"/>
      <c r="CC38" s="39"/>
      <c r="CD38" s="39"/>
      <c r="CE38" s="39"/>
      <c r="CF38" s="39"/>
      <c r="CG38" s="39"/>
      <c r="CH38" s="39"/>
      <c r="CI38" s="39"/>
      <c r="CK38" s="39"/>
      <c r="CN38" s="39"/>
      <c r="CO38" s="87"/>
      <c r="CP38" s="39"/>
      <c r="CQ38" s="39"/>
      <c r="CR38" s="39"/>
      <c r="CS38" s="39"/>
      <c r="CT38" s="39"/>
      <c r="DQ38" s="53"/>
      <c r="DR38" s="53"/>
      <c r="EN38" s="39"/>
      <c r="EP38" s="62"/>
      <c r="EQ38" s="62"/>
      <c r="ER38" s="62"/>
      <c r="ES38" s="62"/>
      <c r="ET38" s="62"/>
      <c r="EU38" s="62"/>
      <c r="EV38" s="62"/>
      <c r="EW38" s="62"/>
      <c r="EX38" s="62"/>
      <c r="EY38" s="62"/>
      <c r="EZ38" s="62"/>
      <c r="FA38" s="62"/>
      <c r="FE38" s="39"/>
      <c r="FF38" s="39"/>
      <c r="FG38" s="39"/>
      <c r="FH38" s="39"/>
      <c r="FI38" s="39"/>
      <c r="FJ38" s="39"/>
      <c r="FL38" s="39"/>
      <c r="FM38" s="39"/>
      <c r="FN38" s="39"/>
      <c r="FO38" s="39"/>
      <c r="FP38" s="39"/>
      <c r="FQ38" s="39"/>
      <c r="FR38" s="39"/>
      <c r="FT38" s="39"/>
      <c r="FU38" s="39"/>
      <c r="FV38" s="39"/>
      <c r="FW38" s="39"/>
      <c r="FX38" s="39"/>
      <c r="FY38" s="39"/>
      <c r="FZ38" s="39"/>
      <c r="GA38" s="39"/>
      <c r="GB38" s="39"/>
      <c r="GC38" s="39"/>
      <c r="GD38" s="39"/>
      <c r="GE38" s="39"/>
      <c r="GF38" s="39"/>
      <c r="GG38" s="39"/>
      <c r="GH38" s="39"/>
      <c r="GI38" s="39"/>
      <c r="GJ38" s="39"/>
    </row>
    <row r="39" spans="1:205" s="1" customFormat="1" x14ac:dyDescent="0.3">
      <c r="A39" s="39"/>
      <c r="B39" s="39"/>
      <c r="C39" s="39"/>
      <c r="D39" s="39"/>
      <c r="E39" s="39"/>
      <c r="F39" s="39"/>
      <c r="G39" s="39"/>
      <c r="H39" s="39"/>
      <c r="I39" s="39"/>
      <c r="J39" s="39"/>
      <c r="K39" s="39"/>
      <c r="L39" s="39"/>
      <c r="M39" s="39"/>
      <c r="N39" s="39"/>
      <c r="O39" s="39"/>
      <c r="P39" s="39"/>
      <c r="Q39" s="39"/>
      <c r="R39" s="39"/>
      <c r="S39" s="39"/>
      <c r="T39" s="39"/>
      <c r="U39" s="39"/>
      <c r="V39" s="39"/>
      <c r="W39" s="39"/>
      <c r="X39" s="39"/>
      <c r="Y39" s="39"/>
      <c r="Z39" s="39"/>
      <c r="AA39" s="39"/>
      <c r="AB39" s="39"/>
      <c r="AC39" s="39"/>
      <c r="AD39" s="39"/>
      <c r="AE39" s="39"/>
      <c r="AF39" s="39"/>
      <c r="AG39" s="39"/>
      <c r="AH39" s="39"/>
      <c r="AI39" s="39"/>
      <c r="AJ39" s="39"/>
      <c r="AK39" s="39"/>
      <c r="AQ39" s="39"/>
      <c r="AR39" s="39"/>
      <c r="AS39" s="39"/>
      <c r="AT39" s="39"/>
      <c r="AU39" s="39"/>
      <c r="AV39" s="39"/>
      <c r="AX39" s="39"/>
      <c r="BH39" s="39"/>
      <c r="BI39" s="39"/>
      <c r="BJ39" s="39"/>
      <c r="BK39" s="39"/>
      <c r="BL39" s="40"/>
      <c r="BM39" s="39"/>
      <c r="BN39" s="39"/>
      <c r="BO39" s="39"/>
      <c r="BP39" s="39"/>
      <c r="BQ39" s="41"/>
      <c r="BR39" s="39"/>
      <c r="BS39" s="39"/>
      <c r="BT39" s="39"/>
      <c r="BU39" s="39"/>
      <c r="BV39" s="39"/>
      <c r="BX39" s="39"/>
      <c r="BY39" s="39"/>
      <c r="BZ39" s="39"/>
      <c r="CA39" s="39"/>
      <c r="CB39" s="39"/>
      <c r="CC39" s="39"/>
      <c r="CD39" s="39"/>
      <c r="CE39" s="39"/>
      <c r="CF39" s="39"/>
      <c r="CG39" s="39"/>
      <c r="CH39" s="39"/>
      <c r="CI39" s="39"/>
      <c r="CK39" s="39"/>
      <c r="CN39" s="39"/>
      <c r="CO39" s="87"/>
      <c r="CP39" s="39"/>
      <c r="CQ39" s="39"/>
      <c r="CR39" s="39"/>
      <c r="CS39" s="39"/>
      <c r="CT39" s="39"/>
      <c r="DQ39" s="53"/>
      <c r="DR39" s="53"/>
      <c r="EN39" s="39"/>
      <c r="EP39" s="62"/>
      <c r="EQ39" s="62"/>
      <c r="ER39" s="62"/>
      <c r="ES39" s="62"/>
      <c r="ET39" s="62"/>
      <c r="EU39" s="62"/>
      <c r="EV39" s="62"/>
      <c r="EW39" s="62"/>
      <c r="EX39" s="62"/>
      <c r="EY39" s="62"/>
      <c r="EZ39" s="62"/>
      <c r="FA39" s="62"/>
      <c r="FE39" s="39"/>
      <c r="FF39" s="39"/>
      <c r="FG39" s="39"/>
      <c r="FH39" s="39"/>
      <c r="FI39" s="39"/>
      <c r="FJ39" s="39"/>
      <c r="FL39" s="39"/>
      <c r="FM39" s="39"/>
      <c r="FN39" s="39"/>
      <c r="FO39" s="39"/>
      <c r="FP39" s="39"/>
      <c r="FQ39" s="39"/>
      <c r="FR39" s="39"/>
      <c r="FT39" s="39"/>
      <c r="FU39" s="39"/>
      <c r="FV39" s="39"/>
      <c r="FW39" s="39"/>
      <c r="FX39" s="39"/>
      <c r="FY39" s="39"/>
      <c r="FZ39" s="39"/>
      <c r="GA39" s="39"/>
      <c r="GB39" s="39"/>
      <c r="GC39" s="39"/>
      <c r="GD39" s="39"/>
      <c r="GE39" s="39"/>
      <c r="GF39" s="39"/>
      <c r="GG39" s="39"/>
      <c r="GH39" s="39"/>
      <c r="GI39" s="39"/>
      <c r="GJ39" s="39"/>
    </row>
    <row r="40" spans="1:205" s="1" customFormat="1" x14ac:dyDescent="0.3">
      <c r="A40" s="12"/>
      <c r="C40" s="12"/>
      <c r="D40" s="12"/>
      <c r="E40" s="12"/>
      <c r="F40" s="12"/>
      <c r="G40" s="12"/>
      <c r="H40" s="12"/>
      <c r="I40" s="12"/>
      <c r="J40" s="12"/>
      <c r="K40" s="12"/>
      <c r="L40" s="12"/>
      <c r="M40" s="12"/>
      <c r="N40" s="12"/>
      <c r="O40" s="12"/>
      <c r="P40" s="12"/>
      <c r="Q40" s="12"/>
      <c r="R40" s="12"/>
      <c r="S40" s="12"/>
      <c r="U40" s="12"/>
      <c r="V40" s="12"/>
      <c r="W40" s="12"/>
      <c r="X40" s="12"/>
      <c r="Y40" s="12"/>
      <c r="Z40" s="12"/>
      <c r="AA40" s="12"/>
      <c r="AB40" s="12"/>
      <c r="AC40" s="12"/>
      <c r="AD40" s="12"/>
      <c r="AE40" s="12"/>
      <c r="AF40" s="12"/>
      <c r="AG40" s="12"/>
      <c r="AI40" s="12"/>
      <c r="AJ40" s="12"/>
      <c r="AK40" s="12"/>
      <c r="AL40" s="12"/>
      <c r="AM40" s="12"/>
      <c r="AN40" s="12"/>
      <c r="AO40" s="12"/>
      <c r="AP40" s="12"/>
      <c r="AQ40" s="12"/>
      <c r="AS40" s="12"/>
      <c r="AU40" s="12"/>
      <c r="AV40" s="12"/>
      <c r="AX40" s="12"/>
      <c r="AY40" s="12"/>
      <c r="AZ40" s="12"/>
      <c r="BA40" s="12"/>
      <c r="BB40" s="12"/>
      <c r="BC40" s="12"/>
      <c r="BD40" s="12"/>
      <c r="BE40" s="12"/>
      <c r="BF40" s="12"/>
      <c r="BG40" s="12"/>
      <c r="BH40" s="12"/>
      <c r="BI40" s="12"/>
      <c r="BJ40" s="12"/>
      <c r="BK40" s="12"/>
      <c r="BL40" s="42"/>
      <c r="BM40" s="12"/>
      <c r="BN40" s="12"/>
      <c r="BO40" s="12"/>
      <c r="BP40" s="12"/>
      <c r="BQ40" s="43"/>
      <c r="BR40" s="12"/>
      <c r="BS40" s="12"/>
      <c r="BT40" s="12"/>
      <c r="BU40" s="12"/>
      <c r="BV40" s="12"/>
      <c r="BY40" s="12"/>
      <c r="BZ40" s="12"/>
      <c r="CA40" s="12"/>
      <c r="CB40" s="12"/>
      <c r="CC40" s="12"/>
      <c r="CD40" s="12"/>
      <c r="CH40" s="12"/>
      <c r="CI40" s="12"/>
      <c r="CK40" s="12"/>
      <c r="CL40" s="12"/>
      <c r="CM40" s="12"/>
      <c r="CO40" s="87"/>
      <c r="CP40" s="12"/>
      <c r="DQ40" s="53"/>
      <c r="DR40" s="53"/>
      <c r="EN40" s="12"/>
      <c r="EP40" s="62"/>
      <c r="EQ40" s="62"/>
      <c r="ER40" s="62"/>
      <c r="ES40" s="62"/>
      <c r="ET40" s="62"/>
      <c r="EU40" s="62"/>
      <c r="EV40" s="62"/>
      <c r="EW40" s="62"/>
      <c r="EX40" s="62"/>
      <c r="EY40" s="62"/>
      <c r="EZ40" s="62"/>
      <c r="FA40" s="62"/>
      <c r="FE40" s="12"/>
      <c r="FF40" s="12"/>
      <c r="FG40" s="12"/>
      <c r="FH40" s="12"/>
      <c r="FI40" s="12"/>
      <c r="FJ40" s="12"/>
      <c r="FM40" s="12"/>
      <c r="FN40" s="12"/>
      <c r="FO40" s="12"/>
      <c r="FP40" s="12"/>
      <c r="FQ40" s="12"/>
      <c r="FR40" s="12"/>
      <c r="FT40" s="12"/>
      <c r="FU40" s="12"/>
      <c r="FV40" s="12"/>
      <c r="FW40" s="12"/>
      <c r="FX40" s="12"/>
      <c r="FY40" s="12"/>
      <c r="FZ40" s="12"/>
      <c r="GA40" s="12"/>
      <c r="GB40" s="12"/>
      <c r="GC40" s="12"/>
      <c r="GD40" s="12"/>
      <c r="GE40" s="12"/>
      <c r="GF40" s="12"/>
      <c r="GG40" s="12"/>
      <c r="GH40" s="12"/>
      <c r="GI40" s="12"/>
      <c r="GJ40" s="12"/>
    </row>
    <row r="41" spans="1:205" s="1" customFormat="1" x14ac:dyDescent="0.3">
      <c r="A41" s="12"/>
      <c r="C41" s="12"/>
      <c r="D41" s="12"/>
      <c r="E41" s="12"/>
      <c r="F41" s="12"/>
      <c r="G41" s="12"/>
      <c r="H41" s="12"/>
      <c r="I41" s="12"/>
      <c r="J41" s="12"/>
      <c r="K41" s="12"/>
      <c r="L41" s="12"/>
      <c r="M41" s="12"/>
      <c r="N41" s="12"/>
      <c r="O41" s="12"/>
      <c r="P41" s="12"/>
      <c r="Q41" s="12"/>
      <c r="R41" s="12"/>
      <c r="S41" s="12"/>
      <c r="U41" s="12"/>
      <c r="V41" s="12"/>
      <c r="W41" s="12"/>
      <c r="X41" s="12"/>
      <c r="Y41" s="12"/>
      <c r="Z41" s="12"/>
      <c r="AA41" s="12"/>
      <c r="AB41" s="12"/>
      <c r="AC41" s="12"/>
      <c r="AD41" s="12"/>
      <c r="AE41" s="12"/>
      <c r="AF41" s="12"/>
      <c r="AG41" s="12"/>
      <c r="AI41" s="12"/>
      <c r="AJ41" s="12"/>
      <c r="AK41" s="12"/>
      <c r="AL41" s="12"/>
      <c r="AM41" s="12"/>
      <c r="AN41" s="12"/>
      <c r="AO41" s="12"/>
      <c r="AP41" s="12"/>
      <c r="AQ41" s="12"/>
      <c r="AS41" s="12"/>
      <c r="AU41" s="12"/>
      <c r="AV41" s="12"/>
      <c r="AX41" s="12"/>
      <c r="AY41" s="12"/>
      <c r="AZ41" s="12"/>
      <c r="BA41" s="12"/>
      <c r="BB41" s="12"/>
      <c r="BC41" s="12"/>
      <c r="BD41" s="12"/>
      <c r="BE41" s="12"/>
      <c r="BF41" s="12"/>
      <c r="BG41" s="12"/>
      <c r="BH41" s="12"/>
      <c r="BI41" s="12"/>
      <c r="BJ41" s="12"/>
      <c r="BK41" s="12"/>
      <c r="BL41" s="42"/>
      <c r="BM41" s="12"/>
      <c r="BN41" s="12"/>
      <c r="BO41" s="12"/>
      <c r="BP41" s="12"/>
      <c r="BQ41" s="43"/>
      <c r="BR41" s="12"/>
      <c r="BS41" s="12"/>
      <c r="BT41" s="12"/>
      <c r="BU41" s="12"/>
      <c r="BV41" s="12"/>
      <c r="BY41" s="12"/>
      <c r="BZ41" s="12"/>
      <c r="CA41" s="12"/>
      <c r="CB41" s="12"/>
      <c r="CC41" s="12"/>
      <c r="CD41" s="12"/>
      <c r="CH41" s="12"/>
      <c r="CI41" s="12"/>
      <c r="CK41" s="12"/>
      <c r="CL41" s="12"/>
      <c r="CM41" s="12"/>
      <c r="CO41" s="87"/>
      <c r="CP41" s="12"/>
      <c r="EN41" s="12"/>
      <c r="EP41" s="53"/>
      <c r="EQ41" s="53"/>
      <c r="ER41" s="53"/>
      <c r="ES41" s="53"/>
      <c r="ET41" s="53"/>
      <c r="EU41" s="53"/>
      <c r="EV41" s="53"/>
      <c r="EW41" s="53"/>
      <c r="EX41" s="53"/>
      <c r="EY41" s="53"/>
      <c r="EZ41" s="53"/>
      <c r="FA41" s="53"/>
      <c r="FE41" s="12"/>
      <c r="FF41" s="12"/>
      <c r="FG41" s="12"/>
      <c r="FH41" s="12"/>
      <c r="FI41" s="12"/>
      <c r="FJ41" s="12"/>
      <c r="FM41" s="12"/>
      <c r="FN41" s="12"/>
      <c r="FO41" s="12"/>
      <c r="FP41" s="12"/>
      <c r="FQ41" s="12"/>
      <c r="FR41" s="12"/>
      <c r="FT41" s="12"/>
      <c r="FU41" s="12"/>
      <c r="FV41" s="12"/>
      <c r="FW41" s="12"/>
      <c r="FX41" s="12"/>
      <c r="FY41" s="12"/>
      <c r="FZ41" s="12"/>
      <c r="GA41" s="12"/>
      <c r="GB41" s="12"/>
      <c r="GC41" s="12"/>
      <c r="GD41" s="12"/>
      <c r="GE41" s="12"/>
      <c r="GF41" s="12"/>
      <c r="GG41" s="12"/>
      <c r="GH41" s="12"/>
      <c r="GI41" s="12"/>
      <c r="GJ41" s="12"/>
    </row>
    <row r="42" spans="1:205" s="1" customFormat="1" x14ac:dyDescent="0.3">
      <c r="A42" s="12"/>
      <c r="C42" s="12"/>
      <c r="D42" s="12"/>
      <c r="E42" s="12"/>
      <c r="F42" s="12"/>
      <c r="G42" s="12"/>
      <c r="H42" s="12"/>
      <c r="I42" s="12"/>
      <c r="J42" s="12"/>
      <c r="K42" s="12"/>
      <c r="L42" s="12"/>
      <c r="M42" s="12"/>
      <c r="N42" s="12"/>
      <c r="O42" s="12"/>
      <c r="P42" s="12"/>
      <c r="Q42" s="12"/>
      <c r="R42" s="12"/>
      <c r="S42" s="12"/>
      <c r="U42" s="12"/>
      <c r="V42" s="12"/>
      <c r="W42" s="12"/>
      <c r="X42" s="12"/>
      <c r="Y42" s="12"/>
      <c r="Z42" s="12"/>
      <c r="AA42" s="12"/>
      <c r="AB42" s="12"/>
      <c r="AC42" s="12"/>
      <c r="AD42" s="12"/>
      <c r="AE42" s="12"/>
      <c r="AF42" s="12"/>
      <c r="AG42" s="12"/>
      <c r="AI42" s="12"/>
      <c r="AJ42" s="12"/>
      <c r="AK42" s="12"/>
      <c r="AL42" s="12"/>
      <c r="AM42" s="12"/>
      <c r="AN42" s="12"/>
      <c r="AO42" s="12"/>
      <c r="AP42" s="12"/>
      <c r="AQ42" s="12"/>
      <c r="AS42" s="12"/>
      <c r="AU42" s="12"/>
      <c r="AV42" s="12"/>
      <c r="AX42" s="12"/>
      <c r="AY42" s="12"/>
      <c r="AZ42" s="12"/>
      <c r="BA42" s="12"/>
      <c r="BB42" s="12"/>
      <c r="BC42" s="12"/>
      <c r="BD42" s="12"/>
      <c r="BE42" s="12"/>
      <c r="BF42" s="12"/>
      <c r="BG42" s="12"/>
      <c r="BH42" s="12"/>
      <c r="BI42" s="12"/>
      <c r="BJ42" s="12"/>
      <c r="BK42" s="12"/>
      <c r="BL42" s="42"/>
      <c r="BM42" s="12"/>
      <c r="BN42" s="12"/>
      <c r="BO42" s="12"/>
      <c r="BP42" s="12"/>
      <c r="BQ42" s="43"/>
      <c r="BR42" s="12"/>
      <c r="BS42" s="12"/>
      <c r="BT42" s="12"/>
      <c r="BU42" s="12"/>
      <c r="BV42" s="12"/>
      <c r="BY42" s="12"/>
      <c r="BZ42" s="12"/>
      <c r="CA42" s="12"/>
      <c r="CB42" s="12"/>
      <c r="CC42" s="12"/>
      <c r="CD42" s="12"/>
      <c r="CH42" s="12"/>
      <c r="CI42" s="12"/>
      <c r="CK42" s="12"/>
      <c r="CL42" s="12"/>
      <c r="CM42" s="12"/>
      <c r="CO42" s="87"/>
      <c r="CP42" s="12"/>
      <c r="EN42" s="12"/>
      <c r="FE42" s="12"/>
      <c r="FF42" s="12"/>
      <c r="FG42" s="12"/>
      <c r="FH42" s="12"/>
      <c r="FI42" s="12"/>
      <c r="FJ42" s="12"/>
      <c r="FM42" s="12"/>
      <c r="FN42" s="12"/>
      <c r="FO42" s="12"/>
      <c r="FP42" s="12"/>
      <c r="FQ42" s="12"/>
      <c r="FR42" s="12"/>
      <c r="FT42" s="12"/>
      <c r="FU42" s="12"/>
      <c r="FV42" s="12"/>
      <c r="FW42" s="12"/>
      <c r="FX42" s="12"/>
      <c r="FY42" s="12"/>
      <c r="FZ42" s="12"/>
      <c r="GA42" s="12"/>
      <c r="GB42" s="12"/>
      <c r="GC42" s="12"/>
      <c r="GD42" s="12"/>
      <c r="GE42" s="12"/>
      <c r="GF42" s="12"/>
      <c r="GG42" s="12"/>
      <c r="GH42" s="12"/>
      <c r="GI42" s="12"/>
      <c r="GJ42" s="12"/>
    </row>
    <row r="43" spans="1:205" s="1" customFormat="1" x14ac:dyDescent="0.3">
      <c r="A43" s="12"/>
      <c r="C43" s="12"/>
      <c r="D43" s="12"/>
      <c r="E43" s="12"/>
      <c r="F43" s="12"/>
      <c r="G43" s="12"/>
      <c r="H43" s="12"/>
      <c r="I43" s="12"/>
      <c r="J43" s="12"/>
      <c r="K43" s="12"/>
      <c r="L43" s="12"/>
      <c r="M43" s="12"/>
      <c r="N43" s="12"/>
      <c r="O43" s="12"/>
      <c r="P43" s="12"/>
      <c r="Q43" s="12"/>
      <c r="R43" s="12"/>
      <c r="S43" s="12"/>
      <c r="U43" s="12"/>
      <c r="V43" s="12"/>
      <c r="W43" s="12"/>
      <c r="X43" s="12"/>
      <c r="Y43" s="12"/>
      <c r="Z43" s="12"/>
      <c r="AA43" s="12"/>
      <c r="AB43" s="12"/>
      <c r="AC43" s="12"/>
      <c r="AD43" s="12"/>
      <c r="AE43" s="12"/>
      <c r="AF43" s="12"/>
      <c r="AG43" s="12"/>
      <c r="AI43" s="12"/>
      <c r="AJ43" s="12"/>
      <c r="AK43" s="12"/>
      <c r="AL43" s="12"/>
      <c r="AM43" s="12"/>
      <c r="AN43" s="12"/>
      <c r="AO43" s="12"/>
      <c r="AP43" s="12"/>
      <c r="AQ43" s="12"/>
      <c r="AS43" s="12"/>
      <c r="AU43" s="12"/>
      <c r="AV43" s="12"/>
      <c r="AX43" s="12"/>
      <c r="AY43" s="12"/>
      <c r="AZ43" s="12"/>
      <c r="BA43" s="12"/>
      <c r="BB43" s="12"/>
      <c r="BC43" s="12"/>
      <c r="BD43" s="12"/>
      <c r="BE43" s="12"/>
      <c r="BF43" s="12"/>
      <c r="BG43" s="12"/>
      <c r="BH43" s="12"/>
      <c r="BI43" s="12"/>
      <c r="BJ43" s="12"/>
      <c r="BK43" s="12"/>
      <c r="BL43" s="42"/>
      <c r="BM43" s="12"/>
      <c r="BN43" s="12"/>
      <c r="BO43" s="12"/>
      <c r="BP43" s="12"/>
      <c r="BQ43" s="43"/>
      <c r="BR43" s="12"/>
      <c r="BS43" s="12"/>
      <c r="BT43" s="12"/>
      <c r="BU43" s="12"/>
      <c r="BV43" s="12"/>
      <c r="BY43" s="12"/>
      <c r="BZ43" s="12"/>
      <c r="CA43" s="12"/>
      <c r="CB43" s="12"/>
      <c r="CC43" s="12"/>
      <c r="CD43" s="12"/>
      <c r="CH43" s="12"/>
      <c r="CI43" s="12"/>
      <c r="CK43" s="12"/>
      <c r="CL43" s="12"/>
      <c r="CM43" s="12"/>
      <c r="CO43" s="87"/>
      <c r="CP43" s="12"/>
      <c r="EN43" s="12"/>
      <c r="FE43" s="12"/>
      <c r="FF43" s="12"/>
      <c r="FG43" s="12"/>
      <c r="FH43" s="12"/>
      <c r="FI43" s="12"/>
      <c r="FJ43" s="12"/>
      <c r="FM43" s="12"/>
      <c r="FN43" s="12"/>
      <c r="FO43" s="12"/>
      <c r="FP43" s="12"/>
      <c r="FQ43" s="12"/>
      <c r="FR43" s="12"/>
      <c r="FT43" s="12"/>
      <c r="FU43" s="12"/>
      <c r="FV43" s="12"/>
      <c r="FW43" s="12"/>
      <c r="FX43" s="12"/>
      <c r="FY43" s="12"/>
      <c r="FZ43" s="12"/>
      <c r="GA43" s="12"/>
      <c r="GB43" s="12"/>
      <c r="GC43" s="12"/>
      <c r="GD43" s="12"/>
      <c r="GE43" s="12"/>
      <c r="GF43" s="12"/>
      <c r="GG43" s="12"/>
      <c r="GH43" s="12"/>
      <c r="GI43" s="12"/>
      <c r="GJ43" s="12"/>
    </row>
    <row r="44" spans="1:205" s="1" customFormat="1" x14ac:dyDescent="0.3">
      <c r="A44" s="12"/>
      <c r="C44" s="12"/>
      <c r="D44" s="12"/>
      <c r="E44" s="12"/>
      <c r="F44" s="12"/>
      <c r="G44" s="12"/>
      <c r="H44" s="12"/>
      <c r="I44" s="12"/>
      <c r="J44" s="12"/>
      <c r="K44" s="12"/>
      <c r="L44" s="12"/>
      <c r="M44" s="12"/>
      <c r="N44" s="12"/>
      <c r="O44" s="12"/>
      <c r="P44" s="12"/>
      <c r="Q44" s="12"/>
      <c r="R44" s="12"/>
      <c r="S44" s="12"/>
      <c r="U44" s="12"/>
      <c r="V44" s="12"/>
      <c r="W44" s="12"/>
      <c r="X44" s="12"/>
      <c r="Y44" s="12"/>
      <c r="Z44" s="12"/>
      <c r="AA44" s="12"/>
      <c r="AB44" s="12"/>
      <c r="AC44" s="12"/>
      <c r="AD44" s="12"/>
      <c r="AE44" s="12"/>
      <c r="AF44" s="12"/>
      <c r="AG44" s="12"/>
      <c r="AI44" s="12"/>
      <c r="AJ44" s="12"/>
      <c r="AK44" s="12"/>
      <c r="AL44" s="12"/>
      <c r="AM44" s="12"/>
      <c r="AN44" s="12"/>
      <c r="AO44" s="12"/>
      <c r="AP44" s="12"/>
      <c r="AQ44" s="12"/>
      <c r="AS44" s="12"/>
      <c r="AU44" s="12"/>
      <c r="AV44" s="12"/>
      <c r="AX44" s="12"/>
      <c r="AY44" s="12"/>
      <c r="AZ44" s="12"/>
      <c r="BA44" s="12"/>
      <c r="BB44" s="12"/>
      <c r="BC44" s="12"/>
      <c r="BD44" s="12"/>
      <c r="BE44" s="12"/>
      <c r="BF44" s="12"/>
      <c r="BG44" s="12"/>
      <c r="BH44" s="12"/>
      <c r="BI44" s="12"/>
      <c r="BJ44" s="12"/>
      <c r="BK44" s="12"/>
      <c r="BL44" s="42"/>
      <c r="BM44" s="12"/>
      <c r="BN44" s="12"/>
      <c r="BO44" s="12"/>
      <c r="BP44" s="12"/>
      <c r="BQ44" s="43"/>
      <c r="BR44" s="12"/>
      <c r="BS44" s="12"/>
      <c r="BT44" s="12"/>
      <c r="BU44" s="12"/>
      <c r="BV44" s="12"/>
      <c r="BY44" s="12"/>
      <c r="BZ44" s="12"/>
      <c r="CA44" s="12"/>
      <c r="CB44" s="12"/>
      <c r="CC44" s="12"/>
      <c r="CD44" s="12"/>
      <c r="CH44" s="12"/>
      <c r="CI44" s="12"/>
      <c r="CK44" s="12"/>
      <c r="CL44" s="12"/>
      <c r="CM44" s="12"/>
      <c r="CO44" s="87"/>
      <c r="CP44" s="12"/>
      <c r="EN44" s="12"/>
      <c r="FE44" s="12"/>
      <c r="FF44" s="12"/>
      <c r="FG44" s="12"/>
      <c r="FH44" s="12"/>
      <c r="FI44" s="12"/>
      <c r="FJ44" s="12"/>
      <c r="FM44" s="12"/>
      <c r="FN44" s="12"/>
      <c r="FO44" s="12"/>
      <c r="FP44" s="12"/>
      <c r="FQ44" s="12"/>
      <c r="FR44" s="12"/>
      <c r="FT44" s="12"/>
      <c r="FU44" s="12"/>
      <c r="FV44" s="12"/>
      <c r="FW44" s="12"/>
      <c r="FX44" s="12"/>
      <c r="FY44" s="12"/>
      <c r="FZ44" s="12"/>
      <c r="GA44" s="12"/>
      <c r="GB44" s="12"/>
      <c r="GC44" s="12"/>
      <c r="GD44" s="12"/>
      <c r="GE44" s="12"/>
      <c r="GF44" s="12"/>
      <c r="GG44" s="12"/>
      <c r="GH44" s="12"/>
      <c r="GI44" s="12"/>
      <c r="GJ44" s="12"/>
    </row>
    <row r="45" spans="1:205" x14ac:dyDescent="0.3">
      <c r="DQ45" s="1"/>
      <c r="DR45" s="1"/>
      <c r="EP45" s="1"/>
      <c r="EQ45" s="1"/>
      <c r="ER45" s="1"/>
      <c r="ES45" s="1"/>
      <c r="ET45" s="1"/>
      <c r="EU45" s="1"/>
      <c r="EV45" s="1"/>
      <c r="EW45" s="1"/>
      <c r="EX45" s="1"/>
      <c r="EY45" s="1"/>
      <c r="EZ45" s="1"/>
      <c r="FA45" s="1"/>
    </row>
    <row r="46" spans="1:205" x14ac:dyDescent="0.3">
      <c r="DQ46" s="1"/>
      <c r="DR46" s="1"/>
      <c r="EP46" s="1"/>
      <c r="EQ46" s="1"/>
      <c r="ER46" s="1"/>
      <c r="ES46" s="1"/>
      <c r="ET46" s="1"/>
      <c r="EU46" s="1"/>
      <c r="EV46" s="1"/>
      <c r="EW46" s="1"/>
      <c r="EX46" s="1"/>
      <c r="EY46" s="1"/>
      <c r="EZ46" s="1"/>
      <c r="FA46" s="1"/>
    </row>
    <row r="47" spans="1:205" x14ac:dyDescent="0.3">
      <c r="DQ47" s="1"/>
      <c r="DR47" s="1"/>
      <c r="EP47" s="1"/>
      <c r="EQ47" s="1"/>
      <c r="ER47" s="1"/>
      <c r="ES47" s="1"/>
      <c r="ET47" s="1"/>
      <c r="EU47" s="1"/>
      <c r="EV47" s="1"/>
      <c r="EW47" s="1"/>
      <c r="EX47" s="1"/>
      <c r="EY47" s="1"/>
      <c r="EZ47" s="1"/>
      <c r="FA47" s="1"/>
    </row>
    <row r="48" spans="1:205" x14ac:dyDescent="0.3">
      <c r="DQ48" s="1"/>
      <c r="DR48" s="1"/>
      <c r="EP48" s="1"/>
      <c r="EQ48" s="1"/>
      <c r="ER48" s="1"/>
      <c r="ES48" s="1"/>
      <c r="ET48" s="1"/>
      <c r="EU48" s="1"/>
      <c r="EV48" s="1"/>
      <c r="EW48" s="1"/>
      <c r="EX48" s="1"/>
      <c r="EY48" s="1"/>
      <c r="EZ48" s="1"/>
      <c r="FA48" s="1"/>
    </row>
    <row r="49" spans="121:157" x14ac:dyDescent="0.3">
      <c r="DQ49" s="1"/>
      <c r="DR49" s="1"/>
      <c r="EP49" s="1"/>
      <c r="EQ49" s="1"/>
      <c r="ER49" s="1"/>
      <c r="ES49" s="1"/>
      <c r="ET49" s="1"/>
      <c r="EU49" s="1"/>
      <c r="EV49" s="1"/>
      <c r="EW49" s="1"/>
      <c r="EX49" s="1"/>
      <c r="EY49" s="1"/>
      <c r="EZ49" s="1"/>
      <c r="FA49" s="1"/>
    </row>
    <row r="50" spans="121:157" x14ac:dyDescent="0.3">
      <c r="DQ50" s="1"/>
      <c r="DR50" s="1"/>
      <c r="EP50" s="1"/>
      <c r="EQ50" s="1"/>
      <c r="ER50" s="1"/>
      <c r="ES50" s="1"/>
      <c r="ET50" s="1"/>
      <c r="EU50" s="1"/>
      <c r="EV50" s="1"/>
      <c r="EW50" s="1"/>
      <c r="EX50" s="1"/>
      <c r="EY50" s="1"/>
      <c r="EZ50" s="1"/>
      <c r="FA50" s="1"/>
    </row>
    <row r="51" spans="121:157" x14ac:dyDescent="0.3">
      <c r="EP51" s="1"/>
      <c r="EQ51" s="1"/>
      <c r="ER51" s="1"/>
      <c r="ES51" s="1"/>
      <c r="ET51" s="1"/>
      <c r="EU51" s="1"/>
      <c r="EV51" s="1"/>
      <c r="EW51" s="1"/>
      <c r="EX51" s="1"/>
      <c r="EY51" s="1"/>
      <c r="EZ51" s="1"/>
      <c r="FA51" s="1"/>
    </row>
  </sheetData>
  <mergeCells count="28">
    <mergeCell ref="U1:AA1"/>
    <mergeCell ref="AC1:AF1"/>
    <mergeCell ref="BH1:BL1"/>
    <mergeCell ref="BN1:BU1"/>
    <mergeCell ref="CO1:DB1"/>
    <mergeCell ref="GM1:GO1"/>
    <mergeCell ref="GP1:GU1"/>
    <mergeCell ref="CE4:CE5"/>
    <mergeCell ref="CF4:CF5"/>
    <mergeCell ref="CG4:CN4"/>
    <mergeCell ref="CO4:CP4"/>
    <mergeCell ref="CQ4:CV4"/>
    <mergeCell ref="DC1:DO1"/>
    <mergeCell ref="CJ8:CP8"/>
    <mergeCell ref="CQ8:DB8"/>
    <mergeCell ref="FE1:FJ1"/>
    <mergeCell ref="FY1:GA1"/>
    <mergeCell ref="GD1:GI1"/>
    <mergeCell ref="CW4:DB4"/>
    <mergeCell ref="DC4:DE4"/>
    <mergeCell ref="DF4:DH4"/>
    <mergeCell ref="DI4:DI5"/>
    <mergeCell ref="DJ4:DO4"/>
    <mergeCell ref="CE31:CP31"/>
    <mergeCell ref="CQ31:DB31"/>
    <mergeCell ref="DC31:DO31"/>
    <mergeCell ref="HE31:IM31"/>
    <mergeCell ref="BE32:BF32"/>
  </mergeCells>
  <conditionalFormatting sqref="AV8">
    <cfRule type="colorScale" priority="9">
      <colorScale>
        <cfvo type="min"/>
        <cfvo type="max"/>
        <color rgb="FFFCFCFF"/>
        <color rgb="FF63BE7B"/>
      </colorScale>
    </cfRule>
  </conditionalFormatting>
  <conditionalFormatting sqref="AY8:AZ8">
    <cfRule type="colorScale" priority="8">
      <colorScale>
        <cfvo type="min"/>
        <cfvo type="max"/>
        <color rgb="FFFCFCFF"/>
        <color rgb="FF63BE7B"/>
      </colorScale>
    </cfRule>
  </conditionalFormatting>
  <conditionalFormatting sqref="BE8">
    <cfRule type="colorScale" priority="7">
      <colorScale>
        <cfvo type="min"/>
        <cfvo type="max"/>
        <color rgb="FFFCFCFF"/>
        <color rgb="FF63BE7B"/>
      </colorScale>
    </cfRule>
  </conditionalFormatting>
  <conditionalFormatting sqref="BL8">
    <cfRule type="colorScale" priority="6">
      <colorScale>
        <cfvo type="min"/>
        <cfvo type="max"/>
        <color rgb="FFFCFCFF"/>
        <color rgb="FF63BE7B"/>
      </colorScale>
    </cfRule>
  </conditionalFormatting>
  <conditionalFormatting sqref="BQ8">
    <cfRule type="colorScale" priority="5">
      <colorScale>
        <cfvo type="min"/>
        <cfvo type="max"/>
        <color rgb="FFFCFCFF"/>
        <color rgb="FF63BE7B"/>
      </colorScale>
    </cfRule>
  </conditionalFormatting>
  <conditionalFormatting sqref="BW8">
    <cfRule type="colorScale" priority="1">
      <colorScale>
        <cfvo type="min"/>
        <cfvo type="max"/>
        <color rgb="FFFCFCFF"/>
        <color rgb="FF63BE7B"/>
      </colorScale>
    </cfRule>
  </conditionalFormatting>
  <conditionalFormatting sqref="CJ8">
    <cfRule type="colorScale" priority="4">
      <colorScale>
        <cfvo type="min"/>
        <cfvo type="max"/>
        <color rgb="FFFCFCFF"/>
        <color rgb="FF63BE7B"/>
      </colorScale>
    </cfRule>
  </conditionalFormatting>
  <conditionalFormatting sqref="CL6:CL7 CL9:CL30">
    <cfRule type="cellIs" dxfId="17" priority="3" operator="lessThan">
      <formula>3</formula>
    </cfRule>
  </conditionalFormatting>
  <conditionalFormatting sqref="CM6:CM7 CM9:CM30">
    <cfRule type="expression" dxfId="16" priority="2">
      <formula>AND(ISNUMBER(CM6),CM6&gt;$HJ$4)</formula>
    </cfRule>
  </conditionalFormatting>
  <conditionalFormatting sqref="CQ6:CV7 CQ9:CV30 CQ32:CV33 EN8">
    <cfRule type="colorScale" priority="14">
      <colorScale>
        <cfvo type="min"/>
        <cfvo type="max"/>
        <color rgb="FFFCFCFF"/>
        <color rgb="FF63BE7B"/>
      </colorScale>
    </cfRule>
  </conditionalFormatting>
  <conditionalFormatting sqref="CW6:DB7 CW9:DB30 CW32:DB33">
    <cfRule type="colorScale" priority="15">
      <colorScale>
        <cfvo type="min"/>
        <cfvo type="max"/>
        <color rgb="FFFCFCFF"/>
        <color rgb="FFF8696B"/>
      </colorScale>
    </cfRule>
  </conditionalFormatting>
  <conditionalFormatting sqref="DI8">
    <cfRule type="colorScale" priority="16">
      <colorScale>
        <cfvo type="min"/>
        <cfvo type="max"/>
        <color rgb="FFFCFCFF"/>
        <color rgb="FF63BE7B"/>
      </colorScale>
    </cfRule>
  </conditionalFormatting>
  <conditionalFormatting sqref="DJ6:DO7 DJ9:DO30 DJ32:DO33">
    <cfRule type="expression" dxfId="15" priority="11">
      <formula>AND(NOT(ISBLANK($DH6)),DJ6&gt;=$DH6)</formula>
    </cfRule>
    <cfRule type="expression" dxfId="14" priority="12">
      <formula>AND(NOT(ISBLANK($DG6)),DJ6&gt;=$DG6)</formula>
    </cfRule>
    <cfRule type="expression" dxfId="13" priority="13">
      <formula>AND(NOT(ISBLANK($DF6)),DJ6&gt;=$DF6)</formula>
    </cfRule>
  </conditionalFormatting>
  <conditionalFormatting sqref="DJ6:DO7 DJ9:DO30">
    <cfRule type="expression" dxfId="12" priority="10">
      <formula>$DG6="---"</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ECF6A-5F82-4062-AA0B-C73DD1050F62}">
  <dimension ref="A1:X32"/>
  <sheetViews>
    <sheetView zoomScale="85" zoomScaleNormal="85" workbookViewId="0">
      <selection activeCell="C27" sqref="C27"/>
    </sheetView>
  </sheetViews>
  <sheetFormatPr defaultRowHeight="14.4" x14ac:dyDescent="0.3"/>
  <cols>
    <col min="2" max="2" width="8.109375" style="18" customWidth="1"/>
    <col min="3" max="3" width="12" bestFit="1" customWidth="1"/>
    <col min="4" max="4" width="6.44140625" customWidth="1"/>
    <col min="5" max="5" width="5.6640625" bestFit="1" customWidth="1"/>
    <col min="6" max="6" width="6.44140625" customWidth="1"/>
    <col min="9" max="14" width="5.33203125" customWidth="1"/>
  </cols>
  <sheetData>
    <row r="1" spans="1:24" ht="43.2" x14ac:dyDescent="0.3">
      <c r="A1" t="s">
        <v>295</v>
      </c>
      <c r="B1" s="106" t="s">
        <v>244</v>
      </c>
      <c r="C1" s="106" t="s">
        <v>266</v>
      </c>
      <c r="D1" s="106" t="s">
        <v>58</v>
      </c>
      <c r="E1" s="105" t="s">
        <v>8</v>
      </c>
      <c r="F1" s="106" t="s">
        <v>56</v>
      </c>
      <c r="G1" s="106" t="s">
        <v>52</v>
      </c>
      <c r="H1" s="106" t="s">
        <v>294</v>
      </c>
      <c r="I1" s="106" t="s">
        <v>267</v>
      </c>
      <c r="J1" s="106" t="s">
        <v>268</v>
      </c>
      <c r="K1" s="106" t="s">
        <v>269</v>
      </c>
      <c r="L1" s="106" t="s">
        <v>270</v>
      </c>
      <c r="M1" s="106" t="s">
        <v>34</v>
      </c>
      <c r="N1" s="107" t="s">
        <v>35</v>
      </c>
      <c r="O1" s="172" t="s">
        <v>275</v>
      </c>
      <c r="P1" s="169" t="s">
        <v>276</v>
      </c>
      <c r="Q1" s="106" t="s">
        <v>54</v>
      </c>
      <c r="R1" s="106" t="s">
        <v>277</v>
      </c>
      <c r="S1" s="106" t="s">
        <v>244</v>
      </c>
      <c r="T1" s="106" t="s">
        <v>246</v>
      </c>
      <c r="U1" s="106" t="s">
        <v>245</v>
      </c>
      <c r="V1" s="107" t="s">
        <v>248</v>
      </c>
      <c r="W1" s="144" t="s">
        <v>242</v>
      </c>
      <c r="X1" s="107" t="s">
        <v>243</v>
      </c>
    </row>
    <row r="2" spans="1:24" x14ac:dyDescent="0.3">
      <c r="A2">
        <v>17</v>
      </c>
      <c r="B2" s="3" t="s">
        <v>129</v>
      </c>
      <c r="C2" s="3">
        <v>591.02508959116903</v>
      </c>
      <c r="D2" s="3">
        <v>838.87349397866603</v>
      </c>
      <c r="E2" s="109" t="s">
        <v>7</v>
      </c>
      <c r="F2" s="3">
        <v>405.044149093285</v>
      </c>
      <c r="G2" s="4">
        <v>0.77419199999999999</v>
      </c>
      <c r="H2" s="4">
        <f t="shared" ref="H2:H16" si="0">G2+H3</f>
        <v>29.247971999999997</v>
      </c>
      <c r="I2" s="95">
        <v>190.553570939145</v>
      </c>
      <c r="J2" s="95">
        <v>275.83832883877199</v>
      </c>
      <c r="K2" s="95">
        <v>439.669775697945</v>
      </c>
      <c r="L2" s="95">
        <v>516.67848212160197</v>
      </c>
      <c r="M2" s="95">
        <v>557.29131989834104</v>
      </c>
      <c r="N2" s="96">
        <v>765.70488965789798</v>
      </c>
      <c r="O2" s="4">
        <v>12.3</v>
      </c>
      <c r="P2" s="95">
        <v>200.444472470411</v>
      </c>
      <c r="Q2" s="16">
        <v>1.53101121021577E-2</v>
      </c>
      <c r="R2" s="7" t="s">
        <v>293</v>
      </c>
      <c r="S2" s="3" t="s">
        <v>129</v>
      </c>
      <c r="T2" s="23">
        <v>1.2689805030822801</v>
      </c>
      <c r="U2" s="4">
        <v>1.5</v>
      </c>
      <c r="V2" s="148">
        <v>0.42023621983368192</v>
      </c>
      <c r="W2" s="145" t="s">
        <v>50</v>
      </c>
      <c r="X2" s="139" t="s">
        <v>50</v>
      </c>
    </row>
    <row r="3" spans="1:24" ht="14.4" customHeight="1" x14ac:dyDescent="0.3">
      <c r="A3">
        <v>16</v>
      </c>
      <c r="B3" s="3" t="s">
        <v>129</v>
      </c>
      <c r="C3" s="3">
        <v>722.796392814716</v>
      </c>
      <c r="D3" s="3">
        <v>1367.2746592231499</v>
      </c>
      <c r="E3" s="109" t="s">
        <v>15</v>
      </c>
      <c r="F3" s="3">
        <v>490.70852093603401</v>
      </c>
      <c r="G3" s="4">
        <v>1.08274</v>
      </c>
      <c r="H3" s="4">
        <f t="shared" si="0"/>
        <v>28.473779999999998</v>
      </c>
      <c r="I3" s="95">
        <v>261.24218494817598</v>
      </c>
      <c r="J3" s="95">
        <v>399.11865450902798</v>
      </c>
      <c r="K3" s="95">
        <v>651.19289028068704</v>
      </c>
      <c r="L3" s="95">
        <v>766.52895286565695</v>
      </c>
      <c r="M3" s="95">
        <v>944.70717112111697</v>
      </c>
      <c r="N3" s="96">
        <v>1267.7215804083401</v>
      </c>
      <c r="O3" s="4">
        <v>17.899999999999999</v>
      </c>
      <c r="P3" s="95">
        <v>236.16254501611101</v>
      </c>
      <c r="Q3" s="16">
        <v>1.5566913048002E-2</v>
      </c>
      <c r="R3" s="7" t="s">
        <v>292</v>
      </c>
      <c r="S3" s="3" t="s">
        <v>129</v>
      </c>
      <c r="T3" s="23">
        <v>2.2178218364715598</v>
      </c>
      <c r="U3" s="4">
        <v>1.7</v>
      </c>
      <c r="V3" s="148">
        <v>0</v>
      </c>
      <c r="W3" s="145" t="s">
        <v>50</v>
      </c>
      <c r="X3" s="139" t="s">
        <v>50</v>
      </c>
    </row>
    <row r="4" spans="1:24" x14ac:dyDescent="0.3">
      <c r="A4">
        <v>15</v>
      </c>
      <c r="B4" s="3" t="s">
        <v>129</v>
      </c>
      <c r="C4" s="3">
        <v>732.95979062839297</v>
      </c>
      <c r="D4" s="3">
        <v>1012.98408663825</v>
      </c>
      <c r="E4" s="109" t="s">
        <v>14</v>
      </c>
      <c r="F4" s="3">
        <v>530.32655941708003</v>
      </c>
      <c r="G4" s="4">
        <v>0.70263599999999993</v>
      </c>
      <c r="H4" s="4">
        <f t="shared" si="0"/>
        <v>27.391039999999997</v>
      </c>
      <c r="I4" s="95">
        <v>132.64710350681199</v>
      </c>
      <c r="J4" s="95">
        <v>200.119378491334</v>
      </c>
      <c r="K4" s="95">
        <v>299.78475865686198</v>
      </c>
      <c r="L4" s="95">
        <v>349.943254373466</v>
      </c>
      <c r="M4" s="95">
        <v>410.34199234563999</v>
      </c>
      <c r="N4" s="96">
        <v>562.54234753856201</v>
      </c>
      <c r="O4" s="4">
        <v>18.2</v>
      </c>
      <c r="P4" s="95">
        <v>210.096612540671</v>
      </c>
      <c r="Q4" s="16">
        <v>1.0608506334761099E-2</v>
      </c>
      <c r="R4" s="7" t="s">
        <v>292</v>
      </c>
      <c r="S4" s="3" t="s">
        <v>129</v>
      </c>
      <c r="T4" s="23">
        <v>2.7868852615356401</v>
      </c>
      <c r="U4" s="4">
        <v>1.2</v>
      </c>
      <c r="V4" s="148">
        <v>0</v>
      </c>
      <c r="W4" s="145" t="s">
        <v>35</v>
      </c>
      <c r="X4" s="139" t="s">
        <v>50</v>
      </c>
    </row>
    <row r="5" spans="1:24" ht="14.4" customHeight="1" x14ac:dyDescent="0.3">
      <c r="A5">
        <v>14</v>
      </c>
      <c r="B5" s="3" t="s">
        <v>129</v>
      </c>
      <c r="C5" s="3">
        <v>507.11232712224</v>
      </c>
      <c r="D5" s="3">
        <v>747.56662069768095</v>
      </c>
      <c r="E5" s="109" t="s">
        <v>13</v>
      </c>
      <c r="F5" s="3">
        <v>295.70855496693298</v>
      </c>
      <c r="G5" s="4">
        <v>1.1261700000000001</v>
      </c>
      <c r="H5" s="4">
        <f t="shared" si="0"/>
        <v>26.688403999999998</v>
      </c>
      <c r="I5" s="95">
        <v>366.890799174032</v>
      </c>
      <c r="J5" s="95">
        <v>532.34224190334396</v>
      </c>
      <c r="K5" s="95">
        <v>788.24773146305495</v>
      </c>
      <c r="L5" s="95">
        <v>931.28795282121405</v>
      </c>
      <c r="M5" s="95">
        <v>1082.0503129558499</v>
      </c>
      <c r="N5" s="96">
        <v>1559.1240895931601</v>
      </c>
      <c r="O5" s="4">
        <v>19.2</v>
      </c>
      <c r="P5" s="95">
        <v>195.184631545531</v>
      </c>
      <c r="Q5" s="16">
        <v>1.7536097311226798E-2</v>
      </c>
      <c r="R5" s="7" t="s">
        <v>292</v>
      </c>
      <c r="S5" s="3" t="s">
        <v>129</v>
      </c>
      <c r="T5" s="23">
        <v>1.4666666984558101</v>
      </c>
      <c r="U5" s="4">
        <v>1</v>
      </c>
      <c r="V5" s="148">
        <v>0.18761586588067805</v>
      </c>
      <c r="W5" s="145" t="s">
        <v>50</v>
      </c>
      <c r="X5" s="139" t="s">
        <v>50</v>
      </c>
    </row>
    <row r="6" spans="1:24" ht="14.4" customHeight="1" x14ac:dyDescent="0.3">
      <c r="A6">
        <v>13</v>
      </c>
      <c r="B6" s="3" t="s">
        <v>129</v>
      </c>
      <c r="C6" s="3">
        <v>413.392982523059</v>
      </c>
      <c r="D6" s="3">
        <v>689.44737777226601</v>
      </c>
      <c r="E6" s="109" t="s">
        <v>12</v>
      </c>
      <c r="F6" s="3">
        <v>247.85238282421699</v>
      </c>
      <c r="G6" s="4">
        <v>0.46207500000000001</v>
      </c>
      <c r="H6" s="4">
        <f t="shared" si="0"/>
        <v>25.562234</v>
      </c>
      <c r="I6" s="95">
        <v>190.88595504555801</v>
      </c>
      <c r="J6" s="95">
        <v>303.646583168061</v>
      </c>
      <c r="K6" s="95">
        <v>470.55188580220403</v>
      </c>
      <c r="L6" s="95">
        <v>577.87361741458699</v>
      </c>
      <c r="M6" s="95">
        <v>672.45679334435999</v>
      </c>
      <c r="N6" s="96">
        <v>945.95255906866203</v>
      </c>
      <c r="O6" s="4">
        <v>27</v>
      </c>
      <c r="P6" s="95">
        <v>186.477420479231</v>
      </c>
      <c r="Q6" s="16">
        <v>1.00168588195909E-2</v>
      </c>
      <c r="R6" s="7" t="s">
        <v>291</v>
      </c>
      <c r="S6" s="3" t="s">
        <v>129</v>
      </c>
      <c r="T6" s="23">
        <v>1.28837883472443</v>
      </c>
      <c r="U6" s="4">
        <v>2.8</v>
      </c>
      <c r="V6" s="149">
        <v>0.85185028274998542</v>
      </c>
      <c r="W6" s="145" t="s">
        <v>50</v>
      </c>
      <c r="X6" s="139" t="s">
        <v>50</v>
      </c>
    </row>
    <row r="7" spans="1:24" ht="14.4" customHeight="1" x14ac:dyDescent="0.3">
      <c r="A7">
        <v>12</v>
      </c>
      <c r="B7" s="3" t="s">
        <v>129</v>
      </c>
      <c r="C7" s="3">
        <v>206.86279384199099</v>
      </c>
      <c r="D7" s="3">
        <v>365.60645364919901</v>
      </c>
      <c r="E7" s="109" t="s">
        <v>6</v>
      </c>
      <c r="F7" s="3">
        <v>117.042985944234</v>
      </c>
      <c r="G7" s="4">
        <v>0.63832100000000003</v>
      </c>
      <c r="H7" s="4">
        <f t="shared" si="0"/>
        <v>25.100159000000001</v>
      </c>
      <c r="I7" s="95">
        <v>195.80510215713699</v>
      </c>
      <c r="J7" s="95">
        <v>309.36498233083699</v>
      </c>
      <c r="K7" s="95">
        <v>483.99247188426398</v>
      </c>
      <c r="L7" s="95">
        <v>550.601101656938</v>
      </c>
      <c r="M7" s="95">
        <v>656.35487213265503</v>
      </c>
      <c r="N7" s="96">
        <v>881.47857613975702</v>
      </c>
      <c r="O7" s="4">
        <v>27.6</v>
      </c>
      <c r="P7" s="95">
        <v>128</v>
      </c>
      <c r="Q7" s="16">
        <v>9.7990091663568996E-3</v>
      </c>
      <c r="R7" s="7" t="s">
        <v>290</v>
      </c>
      <c r="S7" s="3" t="s">
        <v>129</v>
      </c>
      <c r="T7" s="23">
        <v>1.2133550643920901</v>
      </c>
      <c r="U7" s="4">
        <v>2</v>
      </c>
      <c r="V7" s="149">
        <v>0.99820506458583314</v>
      </c>
      <c r="W7" s="145" t="s">
        <v>206</v>
      </c>
      <c r="X7" s="139" t="s">
        <v>50</v>
      </c>
    </row>
    <row r="8" spans="1:24" ht="14.4" customHeight="1" x14ac:dyDescent="0.3">
      <c r="A8">
        <v>11</v>
      </c>
      <c r="B8" s="3" t="s">
        <v>129</v>
      </c>
      <c r="C8" s="3">
        <v>842.07954741109904</v>
      </c>
      <c r="D8" s="3">
        <v>1706.69814944722</v>
      </c>
      <c r="E8" s="109" t="s">
        <v>9</v>
      </c>
      <c r="F8" s="3">
        <v>417.93043933819598</v>
      </c>
      <c r="G8" s="4">
        <v>2.46333</v>
      </c>
      <c r="H8" s="4">
        <f t="shared" si="0"/>
        <v>24.461838</v>
      </c>
      <c r="I8" s="95">
        <v>111.77243460577201</v>
      </c>
      <c r="J8" s="95">
        <v>173.25797331627999</v>
      </c>
      <c r="K8" s="95">
        <v>276.11438837474401</v>
      </c>
      <c r="L8" s="95">
        <v>314.019141696227</v>
      </c>
      <c r="M8" s="95">
        <v>359.35511785909</v>
      </c>
      <c r="N8" s="96">
        <v>464.27733391985601</v>
      </c>
      <c r="O8" s="4">
        <v>45.6</v>
      </c>
      <c r="P8" s="95">
        <v>277.75076189277098</v>
      </c>
      <c r="Q8" s="16">
        <v>5.4570025417987004E-3</v>
      </c>
      <c r="R8" s="7" t="s">
        <v>289</v>
      </c>
      <c r="S8" s="3" t="s">
        <v>129</v>
      </c>
      <c r="T8" s="23">
        <v>1.24435579776764</v>
      </c>
      <c r="U8" s="4">
        <v>2.1</v>
      </c>
      <c r="V8" s="149">
        <v>0.90473506213639077</v>
      </c>
      <c r="W8" s="145" t="s">
        <v>32</v>
      </c>
      <c r="X8" s="139" t="s">
        <v>50</v>
      </c>
    </row>
    <row r="9" spans="1:24" ht="14.4" customHeight="1" x14ac:dyDescent="0.3">
      <c r="A9">
        <v>10</v>
      </c>
      <c r="B9" s="3" t="s">
        <v>129</v>
      </c>
      <c r="C9" s="3">
        <v>741.36331287751</v>
      </c>
      <c r="D9" s="3">
        <v>1478.4633083460201</v>
      </c>
      <c r="E9" s="109" t="s">
        <v>18</v>
      </c>
      <c r="F9" s="3">
        <v>420.09324898966798</v>
      </c>
      <c r="G9" s="4">
        <v>2.6302300000000001</v>
      </c>
      <c r="H9" s="4">
        <f t="shared" si="0"/>
        <v>21.998508000000001</v>
      </c>
      <c r="I9" s="95">
        <v>122.358003507837</v>
      </c>
      <c r="J9" s="95">
        <v>181.29759240578599</v>
      </c>
      <c r="K9" s="95">
        <v>248.24423766650801</v>
      </c>
      <c r="L9" s="95">
        <v>274.155806193378</v>
      </c>
      <c r="M9" s="95">
        <v>316.33571836035998</v>
      </c>
      <c r="N9" s="96">
        <v>381.563865284104</v>
      </c>
      <c r="O9" s="4">
        <v>54.5</v>
      </c>
      <c r="P9" s="95">
        <v>237.986650882151</v>
      </c>
      <c r="Q9" s="16">
        <v>5.1159406074247999E-3</v>
      </c>
      <c r="R9" s="7" t="s">
        <v>288</v>
      </c>
      <c r="S9" s="3" t="s">
        <v>129</v>
      </c>
      <c r="T9" s="23">
        <v>5.3740777969360396</v>
      </c>
      <c r="U9" s="4">
        <v>1.4</v>
      </c>
      <c r="V9" s="148">
        <v>0.54519432210123842</v>
      </c>
      <c r="W9" s="145" t="s">
        <v>50</v>
      </c>
      <c r="X9" s="139" t="s">
        <v>32</v>
      </c>
    </row>
    <row r="10" spans="1:24" ht="14.4" customHeight="1" x14ac:dyDescent="0.3">
      <c r="A10">
        <v>9</v>
      </c>
      <c r="B10" s="3" t="s">
        <v>129</v>
      </c>
      <c r="C10" s="3">
        <v>877.62576918693105</v>
      </c>
      <c r="D10" s="3">
        <v>1895.48085674974</v>
      </c>
      <c r="E10" s="109" t="s">
        <v>17</v>
      </c>
      <c r="F10" s="3">
        <v>360.32125948299301</v>
      </c>
      <c r="G10" s="4">
        <v>0.71269399999999994</v>
      </c>
      <c r="H10" s="4">
        <f t="shared" si="0"/>
        <v>19.368278</v>
      </c>
      <c r="I10" s="95">
        <v>106.016581491235</v>
      </c>
      <c r="J10" s="95">
        <v>151.04189395624601</v>
      </c>
      <c r="K10" s="95">
        <v>243.175452030646</v>
      </c>
      <c r="L10" s="95">
        <v>290.08587636315201</v>
      </c>
      <c r="M10" s="95">
        <v>326.72061271784798</v>
      </c>
      <c r="N10" s="96">
        <v>447.98308296017802</v>
      </c>
      <c r="O10" s="4">
        <v>55.3</v>
      </c>
      <c r="P10" s="95">
        <v>373.62690705444999</v>
      </c>
      <c r="Q10" s="16">
        <v>3.8802226158114001E-3</v>
      </c>
      <c r="R10" s="7" t="s">
        <v>287</v>
      </c>
      <c r="S10" s="3" t="s">
        <v>129</v>
      </c>
      <c r="T10" s="23">
        <v>1.126953125</v>
      </c>
      <c r="U10" s="4">
        <v>1</v>
      </c>
      <c r="V10" s="148">
        <v>0.14289838815143513</v>
      </c>
      <c r="W10" s="145" t="s">
        <v>35</v>
      </c>
      <c r="X10" s="139" t="s">
        <v>50</v>
      </c>
    </row>
    <row r="11" spans="1:24" ht="14.4" customHeight="1" x14ac:dyDescent="0.3">
      <c r="A11">
        <v>8</v>
      </c>
      <c r="B11" s="3" t="s">
        <v>129</v>
      </c>
      <c r="C11" s="3">
        <v>379.35102878012202</v>
      </c>
      <c r="D11" s="3">
        <v>604.42613567579997</v>
      </c>
      <c r="E11" s="109" t="s">
        <v>16</v>
      </c>
      <c r="F11" s="3">
        <v>238.08659941981401</v>
      </c>
      <c r="G11" s="4">
        <v>1.8440000000000001</v>
      </c>
      <c r="H11" s="4">
        <f t="shared" si="0"/>
        <v>18.655584000000001</v>
      </c>
      <c r="I11" s="95">
        <v>58.836539822529403</v>
      </c>
      <c r="J11" s="95">
        <v>82.741706402216593</v>
      </c>
      <c r="K11" s="95">
        <v>125.466688043638</v>
      </c>
      <c r="L11" s="95">
        <v>146.950474865388</v>
      </c>
      <c r="M11" s="95">
        <v>157.70328887276901</v>
      </c>
      <c r="N11" s="96">
        <v>201.947596553122</v>
      </c>
      <c r="O11" s="4">
        <v>57.4</v>
      </c>
      <c r="P11" s="95">
        <v>147.03338943962001</v>
      </c>
      <c r="Q11" s="16">
        <v>3.2846115674992999E-3</v>
      </c>
      <c r="R11" s="7" t="s">
        <v>286</v>
      </c>
      <c r="S11" s="3" t="s">
        <v>129</v>
      </c>
      <c r="T11" s="23">
        <v>3.7223167419433598</v>
      </c>
      <c r="U11" s="4">
        <v>1.6</v>
      </c>
      <c r="V11" s="148">
        <v>0.46641342228454397</v>
      </c>
      <c r="W11" s="145" t="s">
        <v>50</v>
      </c>
      <c r="X11" s="139" t="s">
        <v>34</v>
      </c>
    </row>
    <row r="12" spans="1:24" ht="14.4" customHeight="1" x14ac:dyDescent="0.3">
      <c r="A12">
        <v>7</v>
      </c>
      <c r="B12" s="3" t="s">
        <v>129</v>
      </c>
      <c r="C12" s="3">
        <v>827.62652508672898</v>
      </c>
      <c r="D12" s="3">
        <v>1778.96559521468</v>
      </c>
      <c r="E12" s="109" t="s">
        <v>4</v>
      </c>
      <c r="F12" s="3">
        <v>374.01872307616799</v>
      </c>
      <c r="G12" s="4">
        <v>2.17415</v>
      </c>
      <c r="H12" s="4">
        <f t="shared" si="0"/>
        <v>16.811584</v>
      </c>
      <c r="I12" s="95">
        <v>90.301348392828999</v>
      </c>
      <c r="J12" s="95">
        <v>130.42367188456899</v>
      </c>
      <c r="K12" s="95">
        <v>185.08210991770099</v>
      </c>
      <c r="L12" s="95">
        <v>209.984393227064</v>
      </c>
      <c r="M12" s="95">
        <v>229.670860979878</v>
      </c>
      <c r="N12" s="96">
        <v>297.764074509316</v>
      </c>
      <c r="O12" s="4">
        <v>81.400000000000006</v>
      </c>
      <c r="P12" s="95">
        <v>318.64130290279002</v>
      </c>
      <c r="Q12" s="16">
        <v>3.2202596484366E-3</v>
      </c>
      <c r="R12" s="7" t="s">
        <v>285</v>
      </c>
      <c r="S12" s="3" t="s">
        <v>129</v>
      </c>
      <c r="T12" s="23">
        <v>8.5616436004638707</v>
      </c>
      <c r="U12" s="4">
        <v>1.6</v>
      </c>
      <c r="V12" s="148">
        <v>0.303027963571318</v>
      </c>
      <c r="W12" s="145" t="s">
        <v>31</v>
      </c>
      <c r="X12" s="139" t="s">
        <v>50</v>
      </c>
    </row>
    <row r="13" spans="1:24" ht="14.4" customHeight="1" x14ac:dyDescent="0.3">
      <c r="A13">
        <v>6</v>
      </c>
      <c r="B13" s="3" t="s">
        <v>129</v>
      </c>
      <c r="C13" s="3">
        <v>264.27219539247</v>
      </c>
      <c r="D13" s="3">
        <v>488.21525354078898</v>
      </c>
      <c r="E13" s="109" t="s">
        <v>23</v>
      </c>
      <c r="F13" s="3">
        <v>143.04332870333801</v>
      </c>
      <c r="G13" s="4">
        <v>7.1204900000000002</v>
      </c>
      <c r="H13" s="4">
        <f t="shared" si="0"/>
        <v>14.637433999999999</v>
      </c>
      <c r="I13" s="95">
        <v>73.247701448761603</v>
      </c>
      <c r="J13" s="95">
        <v>97.237446637520193</v>
      </c>
      <c r="K13" s="95">
        <v>126.832623085469</v>
      </c>
      <c r="L13" s="95">
        <v>140.314737684775</v>
      </c>
      <c r="M13" s="95">
        <v>155.88093535873699</v>
      </c>
      <c r="N13" s="96">
        <v>198.703640109215</v>
      </c>
      <c r="O13" s="4">
        <v>96.1</v>
      </c>
      <c r="P13" s="95">
        <v>132.29539622489901</v>
      </c>
      <c r="Q13" s="16">
        <v>2.5397428065815002E-3</v>
      </c>
      <c r="R13" s="7" t="s">
        <v>284</v>
      </c>
      <c r="S13" s="3" t="s">
        <v>129</v>
      </c>
      <c r="T13" s="23">
        <v>5.9250302314758301</v>
      </c>
      <c r="U13" s="4">
        <v>1.8</v>
      </c>
      <c r="V13" s="148">
        <v>0.2948035043668763</v>
      </c>
      <c r="W13" s="145" t="s">
        <v>30</v>
      </c>
      <c r="X13" s="139" t="s">
        <v>50</v>
      </c>
    </row>
    <row r="14" spans="1:24" ht="14.4" customHeight="1" x14ac:dyDescent="0.3">
      <c r="A14">
        <v>5</v>
      </c>
      <c r="B14" s="3" t="s">
        <v>129</v>
      </c>
      <c r="C14" s="3">
        <v>505.06818116131598</v>
      </c>
      <c r="D14" s="3">
        <v>746.96592697099902</v>
      </c>
      <c r="E14" s="109" t="s">
        <v>22</v>
      </c>
      <c r="F14" s="3">
        <v>318.67200792401798</v>
      </c>
      <c r="G14" s="4">
        <v>0.54547500000000004</v>
      </c>
      <c r="H14" s="4">
        <f t="shared" si="0"/>
        <v>7.5169439999999996</v>
      </c>
      <c r="I14" s="95">
        <v>182.48945071845199</v>
      </c>
      <c r="J14" s="95">
        <v>283.050515862346</v>
      </c>
      <c r="K14" s="95">
        <v>436.08095780620698</v>
      </c>
      <c r="L14" s="95">
        <v>493.275407151286</v>
      </c>
      <c r="M14" s="95">
        <v>579.08872058498798</v>
      </c>
      <c r="N14" s="96">
        <v>754.60341082685102</v>
      </c>
      <c r="O14" s="95">
        <v>126</v>
      </c>
      <c r="P14" s="95">
        <v>161.269894386543</v>
      </c>
      <c r="Q14" s="16">
        <v>5.0026505353704996E-3</v>
      </c>
      <c r="R14" s="7" t="s">
        <v>283</v>
      </c>
      <c r="S14" s="3" t="s">
        <v>129</v>
      </c>
      <c r="T14" s="23">
        <v>1.27729976177216</v>
      </c>
      <c r="U14" s="4">
        <v>1.8</v>
      </c>
      <c r="V14" s="148">
        <v>0.45438855841836273</v>
      </c>
      <c r="W14" s="145" t="s">
        <v>50</v>
      </c>
      <c r="X14" s="139" t="s">
        <v>206</v>
      </c>
    </row>
    <row r="15" spans="1:24" ht="14.4" customHeight="1" x14ac:dyDescent="0.3">
      <c r="A15">
        <v>4</v>
      </c>
      <c r="B15" s="3" t="s">
        <v>129</v>
      </c>
      <c r="C15" s="3">
        <v>421.37832523288898</v>
      </c>
      <c r="D15" s="3">
        <v>651.662677430141</v>
      </c>
      <c r="E15" s="109" t="s">
        <v>21</v>
      </c>
      <c r="F15" s="3">
        <v>272.47096391357297</v>
      </c>
      <c r="G15" s="4">
        <v>0.45486399999999999</v>
      </c>
      <c r="H15" s="4">
        <f t="shared" si="0"/>
        <v>6.9714689999999999</v>
      </c>
      <c r="I15" s="95">
        <v>162.542861849644</v>
      </c>
      <c r="J15" s="95">
        <v>228.075557710656</v>
      </c>
      <c r="K15" s="95">
        <v>338.93937588352497</v>
      </c>
      <c r="L15" s="95">
        <v>383.71481718091201</v>
      </c>
      <c r="M15" s="95">
        <v>423.71010695303499</v>
      </c>
      <c r="N15" s="96">
        <v>533.88448389644702</v>
      </c>
      <c r="O15" s="95">
        <v>127</v>
      </c>
      <c r="P15" s="95">
        <v>155.17773655213301</v>
      </c>
      <c r="Q15" s="16">
        <v>3.5801112972605998E-3</v>
      </c>
      <c r="R15" s="7" t="s">
        <v>282</v>
      </c>
      <c r="S15" s="3" t="s">
        <v>129</v>
      </c>
      <c r="T15" s="23">
        <v>2.6</v>
      </c>
      <c r="U15" s="4">
        <v>2.6</v>
      </c>
      <c r="V15" s="148">
        <v>0.88422113728203477</v>
      </c>
      <c r="W15" s="145" t="s">
        <v>31</v>
      </c>
      <c r="X15" s="139" t="s">
        <v>34</v>
      </c>
    </row>
    <row r="16" spans="1:24" ht="14.4" customHeight="1" x14ac:dyDescent="0.3">
      <c r="A16">
        <v>3</v>
      </c>
      <c r="B16" s="3" t="s">
        <v>129</v>
      </c>
      <c r="C16" s="3">
        <v>397.16283997791601</v>
      </c>
      <c r="D16" s="3">
        <v>1271.4143415188901</v>
      </c>
      <c r="E16" s="109" t="s">
        <v>2</v>
      </c>
      <c r="F16" s="3">
        <v>139.37132086486301</v>
      </c>
      <c r="G16" s="4">
        <v>0.79327499999999995</v>
      </c>
      <c r="H16" s="4">
        <f t="shared" si="0"/>
        <v>6.5166050000000002</v>
      </c>
      <c r="I16" s="95">
        <v>57.730233318255102</v>
      </c>
      <c r="J16" s="95">
        <v>81.896132605717497</v>
      </c>
      <c r="K16" s="95">
        <v>112.723847443701</v>
      </c>
      <c r="L16" s="95">
        <v>127.61254751385999</v>
      </c>
      <c r="M16" s="95">
        <v>143.404503162634</v>
      </c>
      <c r="N16" s="96">
        <v>178.38847391407199</v>
      </c>
      <c r="O16" s="95">
        <v>132</v>
      </c>
      <c r="P16" s="95">
        <v>196.472259490233</v>
      </c>
      <c r="Q16" s="16">
        <v>1.5332363633946001E-3</v>
      </c>
      <c r="R16" s="7" t="s">
        <v>281</v>
      </c>
      <c r="S16" s="3" t="s">
        <v>129</v>
      </c>
      <c r="T16" s="23">
        <v>1.7247385978698699</v>
      </c>
      <c r="U16" s="4">
        <v>1.7</v>
      </c>
      <c r="V16" s="148">
        <v>0.92290780988582521</v>
      </c>
      <c r="W16" s="145" t="s">
        <v>34</v>
      </c>
      <c r="X16" s="139" t="s">
        <v>30</v>
      </c>
    </row>
    <row r="17" spans="1:24" ht="15" customHeight="1" x14ac:dyDescent="0.3">
      <c r="A17">
        <v>2</v>
      </c>
      <c r="B17" s="3" t="s">
        <v>129</v>
      </c>
      <c r="C17" s="3">
        <v>204.20160038779201</v>
      </c>
      <c r="D17" s="3">
        <v>411.22854439845099</v>
      </c>
      <c r="E17" s="109" t="s">
        <v>20</v>
      </c>
      <c r="F17" s="3">
        <v>77.892847846711703</v>
      </c>
      <c r="G17" s="4">
        <v>2.96326</v>
      </c>
      <c r="H17" s="4">
        <f>G17+H18</f>
        <v>5.7233300000000007</v>
      </c>
      <c r="I17" s="95">
        <v>72.238309444652501</v>
      </c>
      <c r="J17" s="95">
        <v>96.1549612954324</v>
      </c>
      <c r="K17" s="95">
        <v>140.475668622098</v>
      </c>
      <c r="L17" s="95">
        <v>162.14671255845599</v>
      </c>
      <c r="M17" s="95">
        <v>178.31180583655299</v>
      </c>
      <c r="N17" s="96">
        <v>232.69238882405</v>
      </c>
      <c r="O17" s="95">
        <v>139</v>
      </c>
      <c r="P17" s="95">
        <v>124.75578996767101</v>
      </c>
      <c r="Q17" s="16">
        <v>1.7886953094548E-3</v>
      </c>
      <c r="R17" s="7" t="s">
        <v>280</v>
      </c>
      <c r="S17" s="3" t="s">
        <v>129</v>
      </c>
      <c r="T17" s="23">
        <v>3.0424644947052002</v>
      </c>
      <c r="U17" s="4">
        <v>1.6</v>
      </c>
      <c r="V17" s="148">
        <v>1</v>
      </c>
      <c r="W17" s="145" t="s">
        <v>30</v>
      </c>
      <c r="X17" s="139" t="s">
        <v>50</v>
      </c>
    </row>
    <row r="18" spans="1:24" ht="15" thickBot="1" x14ac:dyDescent="0.35">
      <c r="A18">
        <v>1</v>
      </c>
      <c r="B18" s="100" t="s">
        <v>129</v>
      </c>
      <c r="C18" s="100">
        <v>282.080456875989</v>
      </c>
      <c r="D18" s="100">
        <v>467.97511319843699</v>
      </c>
      <c r="E18" s="110" t="s">
        <v>19</v>
      </c>
      <c r="F18" s="100">
        <v>170.02069640478601</v>
      </c>
      <c r="G18" s="70">
        <v>2.7600700000000002</v>
      </c>
      <c r="H18" s="4">
        <f>G18</f>
        <v>2.7600700000000002</v>
      </c>
      <c r="I18" s="102">
        <v>93.449662852611198</v>
      </c>
      <c r="J18" s="102">
        <v>130.95075542190901</v>
      </c>
      <c r="K18" s="102">
        <v>204.46256274397601</v>
      </c>
      <c r="L18" s="102">
        <v>235.685654358802</v>
      </c>
      <c r="M18" s="102">
        <v>274.26771122603299</v>
      </c>
      <c r="N18" s="103">
        <v>369.08031672416303</v>
      </c>
      <c r="O18" s="102">
        <v>141</v>
      </c>
      <c r="P18" s="102">
        <v>117.78401927998399</v>
      </c>
      <c r="Q18" s="71">
        <v>2.4154879744189999E-3</v>
      </c>
      <c r="R18" s="7" t="s">
        <v>279</v>
      </c>
      <c r="S18" s="100" t="s">
        <v>129</v>
      </c>
      <c r="T18" s="101">
        <v>1.5772358179092401</v>
      </c>
      <c r="U18" s="70">
        <v>1.4</v>
      </c>
      <c r="V18" s="150">
        <v>0.99998699301276683</v>
      </c>
      <c r="W18" s="146" t="s">
        <v>50</v>
      </c>
      <c r="X18" s="140" t="s">
        <v>50</v>
      </c>
    </row>
    <row r="19" spans="1:24" x14ac:dyDescent="0.3">
      <c r="B19"/>
    </row>
    <row r="20" spans="1:24" x14ac:dyDescent="0.3">
      <c r="B20" s="44"/>
      <c r="C20" s="53"/>
      <c r="D20" s="53"/>
      <c r="E20" s="53"/>
      <c r="F20" s="53"/>
      <c r="I20" s="62"/>
      <c r="J20" s="62"/>
      <c r="K20" s="62"/>
      <c r="L20" s="62"/>
      <c r="M20" s="62"/>
      <c r="N20" s="62"/>
    </row>
    <row r="21" spans="1:24" x14ac:dyDescent="0.3">
      <c r="B21" s="44"/>
      <c r="C21" s="53"/>
      <c r="D21" s="53"/>
      <c r="E21" s="53"/>
      <c r="F21" s="53"/>
      <c r="I21" s="62"/>
      <c r="J21" s="62"/>
      <c r="K21" s="62"/>
      <c r="L21" s="62"/>
      <c r="M21" s="62"/>
      <c r="N21" s="62"/>
    </row>
    <row r="22" spans="1:24" x14ac:dyDescent="0.3">
      <c r="B22" s="49"/>
      <c r="C22" s="53"/>
      <c r="D22" s="53"/>
      <c r="E22" s="49"/>
      <c r="F22" s="53"/>
      <c r="I22" s="53"/>
      <c r="J22" s="53"/>
      <c r="K22" s="53"/>
      <c r="L22" s="53"/>
      <c r="M22" s="53"/>
      <c r="N22" s="53"/>
    </row>
    <row r="23" spans="1:24" x14ac:dyDescent="0.3">
      <c r="B23" s="39"/>
      <c r="C23" s="1"/>
      <c r="D23" s="1"/>
      <c r="E23" s="39"/>
      <c r="F23" s="1"/>
      <c r="I23" s="1"/>
      <c r="J23" s="1"/>
      <c r="K23" s="1"/>
      <c r="L23" s="1"/>
      <c r="M23" s="1"/>
      <c r="N23" s="1"/>
    </row>
    <row r="24" spans="1:24" x14ac:dyDescent="0.3">
      <c r="B24" s="39"/>
      <c r="C24" s="1"/>
      <c r="D24" s="1"/>
      <c r="E24" s="39"/>
      <c r="F24" s="1"/>
      <c r="I24" s="1"/>
      <c r="J24" s="1"/>
      <c r="K24" s="1"/>
      <c r="L24" s="1"/>
      <c r="M24" s="1"/>
      <c r="N24" s="1"/>
    </row>
    <row r="25" spans="1:24" x14ac:dyDescent="0.3">
      <c r="B25" s="39"/>
      <c r="C25" s="1"/>
      <c r="D25" s="1"/>
      <c r="E25" s="39"/>
      <c r="F25" s="1"/>
      <c r="I25" s="1"/>
      <c r="J25" s="1"/>
      <c r="K25" s="1"/>
      <c r="L25" s="1"/>
      <c r="M25" s="1"/>
      <c r="N25" s="1"/>
    </row>
    <row r="26" spans="1:24" x14ac:dyDescent="0.3">
      <c r="B26" s="39"/>
      <c r="C26" s="1"/>
      <c r="D26" s="1"/>
      <c r="E26" s="39"/>
      <c r="F26" s="1"/>
      <c r="I26" s="1"/>
      <c r="J26" s="1"/>
      <c r="K26" s="1"/>
      <c r="L26" s="1"/>
      <c r="M26" s="1"/>
      <c r="N26" s="1"/>
    </row>
    <row r="27" spans="1:24" x14ac:dyDescent="0.3">
      <c r="B27" s="39"/>
      <c r="C27" s="1"/>
      <c r="D27" s="1"/>
      <c r="E27" s="39"/>
      <c r="F27" s="1"/>
      <c r="I27" s="1"/>
      <c r="J27" s="1"/>
      <c r="K27" s="1"/>
      <c r="L27" s="1"/>
      <c r="M27" s="1"/>
      <c r="N27" s="1"/>
    </row>
    <row r="28" spans="1:24" x14ac:dyDescent="0.3">
      <c r="B28" s="12"/>
      <c r="C28" s="1"/>
      <c r="D28" s="1"/>
      <c r="E28" s="1"/>
      <c r="F28" s="1"/>
      <c r="I28" s="1"/>
      <c r="J28" s="1"/>
      <c r="K28" s="1"/>
      <c r="L28" s="1"/>
      <c r="M28" s="1"/>
      <c r="N28" s="1"/>
    </row>
    <row r="29" spans="1:24" x14ac:dyDescent="0.3">
      <c r="B29" s="12"/>
      <c r="C29" s="1"/>
      <c r="D29" s="1"/>
      <c r="E29" s="1"/>
      <c r="F29" s="1"/>
      <c r="I29" s="1"/>
      <c r="J29" s="1"/>
      <c r="K29" s="1"/>
      <c r="L29" s="1"/>
      <c r="M29" s="1"/>
      <c r="N29" s="1"/>
    </row>
    <row r="30" spans="1:24" x14ac:dyDescent="0.3">
      <c r="B30" s="12"/>
      <c r="C30" s="1"/>
      <c r="D30" s="1"/>
      <c r="E30" s="1"/>
      <c r="F30" s="1"/>
      <c r="I30" s="1"/>
      <c r="J30" s="1"/>
      <c r="K30" s="1"/>
      <c r="L30" s="1"/>
      <c r="M30" s="1"/>
      <c r="N30" s="1"/>
    </row>
    <row r="31" spans="1:24" x14ac:dyDescent="0.3">
      <c r="B31" s="12"/>
      <c r="C31" s="1"/>
      <c r="D31" s="1"/>
      <c r="E31" s="1"/>
      <c r="F31" s="1"/>
      <c r="I31" s="1"/>
      <c r="J31" s="1"/>
      <c r="K31" s="1"/>
      <c r="L31" s="1"/>
      <c r="M31" s="1"/>
      <c r="N31" s="1"/>
    </row>
    <row r="32" spans="1:24" x14ac:dyDescent="0.3">
      <c r="B32" s="12"/>
      <c r="C32" s="1"/>
      <c r="D32" s="1"/>
      <c r="E32" s="1"/>
      <c r="F32" s="1"/>
      <c r="I32" s="1"/>
      <c r="J32" s="1"/>
      <c r="K32" s="1"/>
      <c r="L32" s="1"/>
      <c r="M32" s="1"/>
      <c r="N32" s="1"/>
    </row>
  </sheetData>
  <sortState xmlns:xlrd2="http://schemas.microsoft.com/office/spreadsheetml/2017/richdata2" ref="A2:X18">
    <sortCondition descending="1" ref="A2:A18"/>
  </sortState>
  <conditionalFormatting sqref="I2:N18 I20:N21">
    <cfRule type="expression" dxfId="11" priority="6">
      <formula>AND(NOT(ISBLANK($CV1)),I2&gt;=$CV1)</formula>
    </cfRule>
    <cfRule type="expression" dxfId="10" priority="7">
      <formula>AND(NOT(ISBLANK($CU1)),I2&gt;=$CU1)</formula>
    </cfRule>
    <cfRule type="expression" dxfId="9" priority="8">
      <formula>AND(NOT(ISBLANK($CT1)),I2&gt;=$CT1)</formula>
    </cfRule>
  </conditionalFormatting>
  <conditionalFormatting sqref="I2:N18">
    <cfRule type="expression" dxfId="8" priority="5">
      <formula>$CU1="---"</formula>
    </cfRule>
  </conditionalFormatting>
  <conditionalFormatting sqref="T2:T18">
    <cfRule type="cellIs" dxfId="7" priority="2" operator="lessThan">
      <formula>3</formula>
    </cfRule>
  </conditionalFormatting>
  <conditionalFormatting sqref="U2:U18">
    <cfRule type="expression" dxfId="6" priority="1">
      <formula>AND(ISNUMBER(U2),U2&gt;$HI$3)</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E2011-335D-47C6-9EF5-36EF145C51D2}">
  <dimension ref="A1:DW26"/>
  <sheetViews>
    <sheetView workbookViewId="0">
      <selection activeCell="F2" sqref="F2:F26"/>
    </sheetView>
  </sheetViews>
  <sheetFormatPr defaultRowHeight="14.4" x14ac:dyDescent="0.3"/>
  <cols>
    <col min="1" max="1" width="5.6640625" bestFit="1" customWidth="1"/>
    <col min="2" max="2" width="8.6640625" customWidth="1"/>
    <col min="3" max="3" width="9.6640625" customWidth="1"/>
    <col min="4" max="4" width="6.77734375" style="18" customWidth="1"/>
    <col min="5" max="5" width="5.6640625" style="18" customWidth="1"/>
    <col min="6" max="6" width="9.33203125" customWidth="1"/>
    <col min="7" max="7" width="8.109375" style="18" customWidth="1"/>
    <col min="8" max="8" width="5.5546875" style="18" customWidth="1"/>
    <col min="9" max="9" width="4.33203125" style="18" bestFit="1" customWidth="1"/>
    <col min="10" max="10" width="5.5546875" customWidth="1"/>
    <col min="11" max="11" width="8.33203125" style="87" customWidth="1"/>
    <col min="12" max="12" width="8.33203125" style="18" customWidth="1"/>
    <col min="13" max="13" width="3.33203125" customWidth="1"/>
    <col min="14" max="14" width="4.109375" customWidth="1"/>
    <col min="15" max="16" width="4.33203125" customWidth="1"/>
    <col min="17" max="18" width="5.33203125" customWidth="1"/>
    <col min="19" max="20" width="3.33203125" customWidth="1"/>
    <col min="21" max="22" width="4.44140625" customWidth="1"/>
    <col min="23" max="24" width="5.33203125" customWidth="1"/>
    <col min="25" max="27" width="6.44140625" customWidth="1"/>
    <col min="28" max="33" width="5.33203125" customWidth="1"/>
    <col min="40" max="50" width="8.88671875" customWidth="1"/>
    <col min="51" max="51" width="5.88671875" customWidth="1"/>
    <col min="52" max="52" width="8.33203125" style="18" customWidth="1"/>
    <col min="53" max="53" width="8" customWidth="1"/>
    <col min="54" max="68" width="5.33203125" customWidth="1"/>
    <col min="69" max="69" width="3.5546875" style="18" customWidth="1"/>
    <col min="70" max="72" width="4.5546875" style="18" customWidth="1"/>
    <col min="73" max="74" width="5.33203125" style="18" customWidth="1"/>
    <col min="75" max="75" width="5.33203125" customWidth="1"/>
    <col min="76" max="76" width="9.88671875" customWidth="1"/>
    <col min="77" max="78" width="14.6640625" style="18" customWidth="1"/>
    <col min="79" max="82" width="8.88671875" style="18" customWidth="1"/>
    <col min="83" max="83" width="5.88671875" customWidth="1"/>
    <col min="84" max="88" width="8.88671875" style="18" customWidth="1"/>
    <col min="89" max="89" width="10.44140625" style="18" customWidth="1"/>
    <col min="90" max="90" width="8.88671875" style="18" customWidth="1"/>
    <col min="91" max="100" width="10.44140625" style="18" customWidth="1"/>
    <col min="101" max="101" width="5.33203125" customWidth="1"/>
    <col min="102" max="102" width="5.6640625" customWidth="1"/>
    <col min="103" max="113" width="5.33203125" customWidth="1"/>
    <col min="114" max="120" width="8.88671875" customWidth="1"/>
  </cols>
  <sheetData>
    <row r="1" spans="1:127" s="12" customFormat="1" ht="35.4" customHeight="1" x14ac:dyDescent="0.3">
      <c r="A1" s="196" t="s">
        <v>8</v>
      </c>
      <c r="B1" s="253" t="s">
        <v>275</v>
      </c>
      <c r="C1" s="254" t="s">
        <v>247</v>
      </c>
      <c r="D1" s="255"/>
      <c r="E1" s="255"/>
      <c r="F1" s="255"/>
      <c r="G1" s="255"/>
      <c r="H1" s="255"/>
      <c r="I1" s="255"/>
      <c r="J1" s="256"/>
      <c r="K1" s="249" t="s">
        <v>263</v>
      </c>
      <c r="L1" s="234"/>
      <c r="M1" s="233" t="s">
        <v>250</v>
      </c>
      <c r="N1" s="226"/>
      <c r="O1" s="226"/>
      <c r="P1" s="226"/>
      <c r="Q1" s="226"/>
      <c r="R1" s="226"/>
      <c r="S1" s="226" t="s">
        <v>251</v>
      </c>
      <c r="T1" s="226"/>
      <c r="U1" s="226"/>
      <c r="V1" s="226"/>
      <c r="W1" s="226"/>
      <c r="X1" s="234"/>
      <c r="Y1" s="229" t="s">
        <v>252</v>
      </c>
      <c r="Z1" s="230"/>
      <c r="AA1" s="231"/>
      <c r="AB1" s="226" t="s">
        <v>249</v>
      </c>
      <c r="AC1" s="226"/>
      <c r="AD1" s="226"/>
      <c r="AE1" s="226"/>
      <c r="AF1" s="226"/>
      <c r="AG1" s="234"/>
      <c r="AY1" s="108" t="s">
        <v>8</v>
      </c>
      <c r="AZ1" s="166" t="s">
        <v>53</v>
      </c>
      <c r="BA1" s="73"/>
      <c r="BB1" s="73"/>
      <c r="BC1" s="73"/>
      <c r="BD1" s="73"/>
      <c r="BE1" s="73"/>
      <c r="BF1" s="73"/>
      <c r="BG1" s="73"/>
      <c r="BH1" s="73"/>
      <c r="BI1" s="73"/>
      <c r="BJ1" s="73"/>
      <c r="BK1" s="73"/>
      <c r="BL1" s="73"/>
      <c r="BM1" s="73"/>
      <c r="BN1" s="73"/>
      <c r="BO1" s="73"/>
      <c r="BP1" s="24"/>
      <c r="BQ1" s="175"/>
      <c r="BR1" s="176"/>
      <c r="BS1" s="176"/>
      <c r="BT1" s="176"/>
      <c r="BU1" s="176"/>
      <c r="BV1" s="73"/>
      <c r="BW1" s="13"/>
      <c r="BX1" s="2"/>
      <c r="BY1" s="2"/>
      <c r="BZ1" s="2"/>
      <c r="CA1" s="2"/>
      <c r="CB1" s="2"/>
      <c r="CC1" s="2"/>
      <c r="CD1" s="2"/>
      <c r="CE1" s="177" t="s">
        <v>8</v>
      </c>
      <c r="CF1" s="2"/>
      <c r="CG1" s="2"/>
      <c r="CH1" s="2"/>
      <c r="CI1" s="2"/>
      <c r="CJ1" s="2"/>
      <c r="CK1" s="175"/>
      <c r="CL1" s="176"/>
      <c r="CM1" s="73"/>
      <c r="CN1" s="13"/>
      <c r="CO1" s="13"/>
      <c r="CP1" s="13"/>
      <c r="CQ1" s="13"/>
      <c r="CR1" s="13"/>
      <c r="CS1" s="13"/>
      <c r="CT1" s="13"/>
      <c r="CU1" s="13"/>
      <c r="CV1" s="13"/>
      <c r="CW1" s="13"/>
      <c r="CX1" s="13"/>
      <c r="CY1" s="13"/>
      <c r="CZ1" s="13"/>
      <c r="DA1" s="13"/>
      <c r="DB1" s="178"/>
      <c r="DC1" s="178"/>
      <c r="DD1" s="178"/>
      <c r="DE1" s="178"/>
      <c r="DF1" s="178"/>
      <c r="DG1" s="178"/>
      <c r="DH1" s="13"/>
      <c r="DI1" s="13"/>
      <c r="DO1" s="12">
        <v>8</v>
      </c>
      <c r="DP1" s="12">
        <v>10</v>
      </c>
      <c r="DQ1" s="12">
        <v>9</v>
      </c>
      <c r="DR1" s="12">
        <v>3</v>
      </c>
      <c r="DS1" s="12">
        <v>7</v>
      </c>
      <c r="DU1" s="12" t="s">
        <v>253</v>
      </c>
      <c r="DV1" s="12">
        <v>1.4</v>
      </c>
    </row>
    <row r="2" spans="1:127" s="12" customFormat="1" ht="28.8" customHeight="1" x14ac:dyDescent="0.3">
      <c r="A2" s="197"/>
      <c r="B2" s="238"/>
      <c r="C2" s="169" t="s">
        <v>276</v>
      </c>
      <c r="D2" s="106" t="s">
        <v>52</v>
      </c>
      <c r="E2" s="106" t="s">
        <v>54</v>
      </c>
      <c r="F2" s="106" t="s">
        <v>277</v>
      </c>
      <c r="G2" s="106" t="s">
        <v>244</v>
      </c>
      <c r="H2" s="106" t="s">
        <v>246</v>
      </c>
      <c r="I2" s="106" t="s">
        <v>245</v>
      </c>
      <c r="J2" s="107" t="s">
        <v>248</v>
      </c>
      <c r="K2" s="144" t="s">
        <v>242</v>
      </c>
      <c r="L2" s="107" t="s">
        <v>243</v>
      </c>
      <c r="M2" s="111" t="s">
        <v>30</v>
      </c>
      <c r="N2" s="106" t="s">
        <v>31</v>
      </c>
      <c r="O2" s="106" t="s">
        <v>32</v>
      </c>
      <c r="P2" s="106" t="s">
        <v>33</v>
      </c>
      <c r="Q2" s="106" t="s">
        <v>34</v>
      </c>
      <c r="R2" s="106" t="s">
        <v>35</v>
      </c>
      <c r="S2" s="106" t="s">
        <v>30</v>
      </c>
      <c r="T2" s="106" t="s">
        <v>31</v>
      </c>
      <c r="U2" s="106" t="s">
        <v>32</v>
      </c>
      <c r="V2" s="106" t="s">
        <v>33</v>
      </c>
      <c r="W2" s="106" t="s">
        <v>34</v>
      </c>
      <c r="X2" s="107" t="s">
        <v>35</v>
      </c>
      <c r="Y2" s="106" t="s">
        <v>56</v>
      </c>
      <c r="Z2" s="106" t="s">
        <v>57</v>
      </c>
      <c r="AA2" s="106" t="s">
        <v>58</v>
      </c>
      <c r="AB2" s="106" t="s">
        <v>30</v>
      </c>
      <c r="AC2" s="106" t="s">
        <v>31</v>
      </c>
      <c r="AD2" s="106" t="s">
        <v>32</v>
      </c>
      <c r="AE2" s="106" t="s">
        <v>33</v>
      </c>
      <c r="AF2" s="106" t="s">
        <v>34</v>
      </c>
      <c r="AG2" s="107" t="s">
        <v>35</v>
      </c>
      <c r="AY2" s="108"/>
      <c r="AZ2" s="111"/>
      <c r="BA2" s="73"/>
      <c r="BB2" s="116" t="s">
        <v>185</v>
      </c>
      <c r="BC2" s="116" t="s">
        <v>100</v>
      </c>
      <c r="BD2" s="116" t="s">
        <v>186</v>
      </c>
      <c r="BE2" s="182" t="s">
        <v>8</v>
      </c>
      <c r="BF2" s="116" t="s">
        <v>52</v>
      </c>
      <c r="BG2" s="116" t="s">
        <v>54</v>
      </c>
      <c r="BH2" s="116" t="s">
        <v>51</v>
      </c>
      <c r="BI2" s="21" t="s">
        <v>207</v>
      </c>
      <c r="BJ2" s="21" t="s">
        <v>209</v>
      </c>
      <c r="BK2" s="21" t="s">
        <v>210</v>
      </c>
      <c r="BL2" s="116" t="s">
        <v>49</v>
      </c>
      <c r="BM2" s="116" t="s">
        <v>70</v>
      </c>
      <c r="BN2" s="73"/>
      <c r="BO2" s="73"/>
      <c r="BP2" s="24"/>
      <c r="BQ2" s="24" t="s">
        <v>30</v>
      </c>
      <c r="BR2" s="24" t="s">
        <v>31</v>
      </c>
      <c r="BS2" s="24" t="s">
        <v>32</v>
      </c>
      <c r="BT2" s="24" t="s">
        <v>33</v>
      </c>
      <c r="BU2" s="24" t="s">
        <v>34</v>
      </c>
      <c r="BV2" s="24" t="s">
        <v>35</v>
      </c>
      <c r="BW2" s="13"/>
      <c r="BX2" s="24" t="s">
        <v>29</v>
      </c>
      <c r="BY2" s="24" t="s">
        <v>42</v>
      </c>
      <c r="BZ2" s="24" t="s">
        <v>42</v>
      </c>
      <c r="CA2" s="24" t="s">
        <v>24</v>
      </c>
      <c r="CB2" s="24" t="s">
        <v>25</v>
      </c>
      <c r="CC2" s="24" t="s">
        <v>26</v>
      </c>
      <c r="CD2" s="24" t="s">
        <v>43</v>
      </c>
      <c r="CE2" s="177"/>
      <c r="CF2" s="24" t="s">
        <v>238</v>
      </c>
      <c r="CG2" s="24" t="s">
        <v>239</v>
      </c>
      <c r="CH2" s="24" t="s">
        <v>240</v>
      </c>
      <c r="CI2" s="24" t="s">
        <v>241</v>
      </c>
      <c r="CJ2" s="24" t="s">
        <v>27</v>
      </c>
      <c r="CK2" s="24" t="s">
        <v>47</v>
      </c>
      <c r="CL2" s="24" t="s">
        <v>28</v>
      </c>
      <c r="CM2" s="24" t="s">
        <v>48</v>
      </c>
      <c r="CN2" s="13"/>
      <c r="CO2" s="12" t="s">
        <v>8</v>
      </c>
      <c r="CP2" s="12" t="s">
        <v>60</v>
      </c>
      <c r="CQ2" s="12" t="s">
        <v>61</v>
      </c>
      <c r="CR2" s="12" t="s">
        <v>62</v>
      </c>
      <c r="CS2" s="12" t="s">
        <v>63</v>
      </c>
      <c r="CT2" s="12" t="s">
        <v>64</v>
      </c>
      <c r="CU2" s="12" t="s">
        <v>65</v>
      </c>
      <c r="CV2" s="13"/>
      <c r="CW2" s="13"/>
      <c r="CX2" s="12" t="s">
        <v>54</v>
      </c>
      <c r="CY2" s="12" t="s">
        <v>56</v>
      </c>
      <c r="CZ2" s="12" t="s">
        <v>57</v>
      </c>
      <c r="DA2" s="12" t="s">
        <v>58</v>
      </c>
      <c r="DB2" s="24" t="s">
        <v>30</v>
      </c>
      <c r="DC2" s="24" t="s">
        <v>31</v>
      </c>
      <c r="DD2" s="24" t="s">
        <v>32</v>
      </c>
      <c r="DE2" s="24" t="s">
        <v>33</v>
      </c>
      <c r="DF2" s="24" t="s">
        <v>34</v>
      </c>
      <c r="DG2" s="24" t="s">
        <v>35</v>
      </c>
      <c r="DH2" s="13"/>
      <c r="DI2" s="13"/>
      <c r="DT2" s="12" t="s">
        <v>237</v>
      </c>
    </row>
    <row r="3" spans="1:127" x14ac:dyDescent="0.3">
      <c r="A3" s="109" t="s">
        <v>36</v>
      </c>
      <c r="B3" s="95">
        <v>144</v>
      </c>
      <c r="C3" s="171" t="s">
        <v>50</v>
      </c>
      <c r="D3" s="4">
        <v>1.6922900000000001</v>
      </c>
      <c r="E3" s="94">
        <v>6.2896734105948003E-3</v>
      </c>
      <c r="F3" s="7" t="s">
        <v>50</v>
      </c>
      <c r="G3" s="3" t="s">
        <v>122</v>
      </c>
      <c r="H3" s="7" t="s">
        <v>50</v>
      </c>
      <c r="I3" s="7" t="s">
        <v>50</v>
      </c>
      <c r="J3" s="147" t="s">
        <v>50</v>
      </c>
      <c r="K3" s="145" t="s">
        <v>50</v>
      </c>
      <c r="L3" s="139" t="s">
        <v>50</v>
      </c>
      <c r="M3" s="137">
        <v>0</v>
      </c>
      <c r="N3" s="95">
        <v>0</v>
      </c>
      <c r="O3" s="95">
        <v>0</v>
      </c>
      <c r="P3" s="95">
        <v>0</v>
      </c>
      <c r="Q3" s="95">
        <v>0</v>
      </c>
      <c r="R3" s="95">
        <v>0</v>
      </c>
      <c r="S3" s="95">
        <v>0.23820469722832668</v>
      </c>
      <c r="T3" s="95">
        <v>0.47387772877004181</v>
      </c>
      <c r="U3" s="95">
        <v>0.4764186216762068</v>
      </c>
      <c r="V3" s="95">
        <v>0.4932013393883336</v>
      </c>
      <c r="W3" s="95">
        <v>0.57296487116323502</v>
      </c>
      <c r="X3" s="96">
        <v>0.91201309692037413</v>
      </c>
      <c r="Y3" s="7" t="s">
        <v>50</v>
      </c>
      <c r="Z3" s="7" t="s">
        <v>50</v>
      </c>
      <c r="AA3" s="7" t="s">
        <v>50</v>
      </c>
      <c r="AB3" s="95">
        <v>258.92696287516702</v>
      </c>
      <c r="AC3" s="95">
        <v>377.304980823253</v>
      </c>
      <c r="AD3" s="95">
        <v>607.21925227194197</v>
      </c>
      <c r="AE3" s="95">
        <v>691.39785478051397</v>
      </c>
      <c r="AF3" s="95">
        <v>812.37250900844901</v>
      </c>
      <c r="AG3" s="96">
        <v>1113.9293873336901</v>
      </c>
      <c r="AY3" s="163" t="s">
        <v>36</v>
      </c>
      <c r="AZ3" s="92" t="s">
        <v>50</v>
      </c>
      <c r="BA3" s="22" t="b">
        <v>0</v>
      </c>
      <c r="BB3" s="6"/>
      <c r="BC3" s="6"/>
      <c r="BD3" s="6"/>
      <c r="BE3" s="68"/>
      <c r="BF3" s="6"/>
      <c r="BG3" s="6"/>
      <c r="BH3" s="6"/>
      <c r="BI3" s="88"/>
      <c r="BJ3" s="21"/>
      <c r="BK3" s="21"/>
      <c r="BL3" s="6"/>
      <c r="BM3" s="6"/>
      <c r="BN3" s="22"/>
      <c r="BO3" s="22"/>
      <c r="BP3" s="11"/>
      <c r="BQ3" s="8">
        <v>0.27180403157088701</v>
      </c>
      <c r="BR3" s="9">
        <v>0.50748232883701905</v>
      </c>
      <c r="BS3" s="9">
        <v>0.51002322174317605</v>
      </c>
      <c r="BT3" s="9">
        <v>0.52680593945528498</v>
      </c>
      <c r="BU3" s="9">
        <v>0.60656947123022298</v>
      </c>
      <c r="BV3" s="10">
        <v>0.945617696987333</v>
      </c>
      <c r="BW3" s="14"/>
      <c r="BX3" s="3">
        <v>1692.29</v>
      </c>
      <c r="BY3" s="5"/>
      <c r="BZ3" s="5" t="s">
        <v>44</v>
      </c>
      <c r="CA3" s="5">
        <v>0</v>
      </c>
      <c r="CB3" s="5" t="s">
        <v>44</v>
      </c>
      <c r="CC3" s="5"/>
      <c r="CD3" s="5"/>
      <c r="CE3" s="68" t="s">
        <v>36</v>
      </c>
      <c r="CF3" s="5"/>
      <c r="CG3" s="5" t="s">
        <v>50</v>
      </c>
      <c r="CH3" s="5"/>
      <c r="CI3" s="5" t="s">
        <v>50</v>
      </c>
      <c r="CJ3" s="5"/>
      <c r="CK3" s="4">
        <v>0</v>
      </c>
      <c r="CL3" s="5"/>
      <c r="CM3" s="5" t="s">
        <v>44</v>
      </c>
      <c r="CO3" t="s">
        <v>36</v>
      </c>
      <c r="CP3">
        <v>258.92696287516702</v>
      </c>
      <c r="CQ3">
        <v>377.304980823253</v>
      </c>
      <c r="CR3">
        <v>607.21925227194197</v>
      </c>
      <c r="CS3">
        <v>691.39785478051397</v>
      </c>
      <c r="CT3">
        <v>812.37250900844901</v>
      </c>
      <c r="CU3">
        <v>1113.9293873336901</v>
      </c>
      <c r="CW3" s="14"/>
      <c r="CX3" s="15">
        <v>6.2896734105948003E-3</v>
      </c>
      <c r="DB3">
        <v>206.31833166225201</v>
      </c>
      <c r="DC3">
        <v>265.43566769880101</v>
      </c>
      <c r="DD3">
        <v>394.087522025091</v>
      </c>
      <c r="DE3">
        <v>438.06979018709302</v>
      </c>
      <c r="DF3">
        <v>502.74274389044098</v>
      </c>
      <c r="DG3">
        <v>618.979460299587</v>
      </c>
      <c r="DH3" s="14"/>
      <c r="DI3" s="14"/>
      <c r="DT3" t="s">
        <v>296</v>
      </c>
      <c r="DV3">
        <v>18</v>
      </c>
      <c r="DW3" t="s">
        <v>254</v>
      </c>
    </row>
    <row r="4" spans="1:127" x14ac:dyDescent="0.3">
      <c r="A4" s="109" t="s">
        <v>37</v>
      </c>
      <c r="B4" s="95">
        <v>143</v>
      </c>
      <c r="C4" s="171" t="s">
        <v>50</v>
      </c>
      <c r="D4" s="4">
        <v>0.83223800000000003</v>
      </c>
      <c r="E4" s="94">
        <v>1.9717939965368601E-2</v>
      </c>
      <c r="F4" s="7" t="s">
        <v>50</v>
      </c>
      <c r="G4" s="3" t="s">
        <v>122</v>
      </c>
      <c r="H4" s="7" t="s">
        <v>50</v>
      </c>
      <c r="I4" s="7" t="s">
        <v>50</v>
      </c>
      <c r="J4" s="147" t="s">
        <v>50</v>
      </c>
      <c r="K4" s="145" t="s">
        <v>50</v>
      </c>
      <c r="L4" s="139" t="s">
        <v>50</v>
      </c>
      <c r="M4" s="137">
        <v>0</v>
      </c>
      <c r="N4" s="95">
        <v>0</v>
      </c>
      <c r="O4" s="95">
        <v>0</v>
      </c>
      <c r="P4" s="95">
        <v>0</v>
      </c>
      <c r="Q4" s="95">
        <v>0</v>
      </c>
      <c r="R4" s="95">
        <v>0</v>
      </c>
      <c r="S4" s="95">
        <v>1.0909921054922089E-2</v>
      </c>
      <c r="T4" s="95">
        <v>1.3035584900527612E-2</v>
      </c>
      <c r="U4" s="95">
        <v>1.3647100346351403E-2</v>
      </c>
      <c r="V4" s="95">
        <v>1.3647100346351403E-2</v>
      </c>
      <c r="W4" s="95">
        <v>1.3647100346351403E-2</v>
      </c>
      <c r="X4" s="96">
        <v>1.3676637460950472E-2</v>
      </c>
      <c r="Y4" s="7" t="s">
        <v>50</v>
      </c>
      <c r="Z4" s="7" t="s">
        <v>50</v>
      </c>
      <c r="AA4" s="7" t="s">
        <v>50</v>
      </c>
      <c r="AB4" s="95">
        <v>1033.2007403963701</v>
      </c>
      <c r="AC4" s="95">
        <v>1524.12326310039</v>
      </c>
      <c r="AD4" s="95">
        <v>2340.8646237482199</v>
      </c>
      <c r="AE4" s="95">
        <v>2740.2885228536302</v>
      </c>
      <c r="AF4" s="95">
        <v>3317.87785073656</v>
      </c>
      <c r="AG4" s="96">
        <v>4415.62145124362</v>
      </c>
      <c r="AY4" s="163" t="s">
        <v>37</v>
      </c>
      <c r="AZ4" s="92" t="s">
        <v>50</v>
      </c>
      <c r="BA4" s="22" t="b">
        <v>0</v>
      </c>
      <c r="BB4" s="6"/>
      <c r="BC4" s="6"/>
      <c r="BD4" s="6"/>
      <c r="BE4" s="68"/>
      <c r="BF4" s="6"/>
      <c r="BG4" s="6"/>
      <c r="BH4" s="6"/>
      <c r="BI4" s="88"/>
      <c r="BJ4" s="21"/>
      <c r="BK4" s="21"/>
      <c r="BL4" s="6"/>
      <c r="BM4" s="6"/>
      <c r="BN4" s="22"/>
      <c r="BO4" s="22"/>
      <c r="BP4" s="11"/>
      <c r="BQ4" s="8">
        <v>1.2339400059782299E-2</v>
      </c>
      <c r="BR4" s="9">
        <v>1.44650639053791E-2</v>
      </c>
      <c r="BS4" s="9">
        <v>1.51054747532031E-2</v>
      </c>
      <c r="BT4" s="9">
        <v>1.51054747532031E-2</v>
      </c>
      <c r="BU4" s="9">
        <v>1.51054747531331E-2</v>
      </c>
      <c r="BV4" s="10">
        <v>1.51350118677671E-2</v>
      </c>
      <c r="BW4" s="14"/>
      <c r="BX4" s="3">
        <v>832.23800000000006</v>
      </c>
      <c r="BY4" s="5"/>
      <c r="BZ4" s="5" t="s">
        <v>44</v>
      </c>
      <c r="CA4" s="5">
        <v>0</v>
      </c>
      <c r="CB4" s="5" t="s">
        <v>44</v>
      </c>
      <c r="CC4" s="5"/>
      <c r="CD4" s="5"/>
      <c r="CE4" s="68" t="s">
        <v>37</v>
      </c>
      <c r="CF4" s="5"/>
      <c r="CG4" s="5" t="s">
        <v>50</v>
      </c>
      <c r="CH4" s="5"/>
      <c r="CI4" s="5" t="s">
        <v>50</v>
      </c>
      <c r="CJ4" s="5"/>
      <c r="CK4" s="4">
        <v>0</v>
      </c>
      <c r="CL4" s="5"/>
      <c r="CM4" s="5" t="s">
        <v>44</v>
      </c>
      <c r="CO4" t="s">
        <v>37</v>
      </c>
      <c r="CP4">
        <v>1033.2007403963701</v>
      </c>
      <c r="CQ4">
        <v>1524.12326310039</v>
      </c>
      <c r="CR4">
        <v>2340.8646237482199</v>
      </c>
      <c r="CS4">
        <v>2740.2885228536302</v>
      </c>
      <c r="CT4">
        <v>3317.87785073656</v>
      </c>
      <c r="CU4">
        <v>4415.62145124362</v>
      </c>
      <c r="CW4" s="14"/>
      <c r="CX4" s="15">
        <v>1.9717939965368601E-2</v>
      </c>
      <c r="DB4">
        <v>870.84141184684302</v>
      </c>
      <c r="DC4">
        <v>1198.78506870502</v>
      </c>
      <c r="DD4">
        <v>1719.62148180136</v>
      </c>
      <c r="DE4">
        <v>1962.7633625666899</v>
      </c>
      <c r="DF4">
        <v>2319.23961360879</v>
      </c>
      <c r="DG4">
        <v>2978.5874813775399</v>
      </c>
      <c r="DH4" s="14"/>
      <c r="DI4" s="14"/>
      <c r="DT4" t="s">
        <v>296</v>
      </c>
      <c r="DV4">
        <v>13</v>
      </c>
      <c r="DW4" t="s">
        <v>255</v>
      </c>
    </row>
    <row r="5" spans="1:127" x14ac:dyDescent="0.3">
      <c r="A5" s="109" t="s">
        <v>19</v>
      </c>
      <c r="B5" s="95">
        <v>141</v>
      </c>
      <c r="C5" s="95">
        <v>117.78401927998399</v>
      </c>
      <c r="D5" s="4">
        <v>2.7600700000000002</v>
      </c>
      <c r="E5" s="16">
        <v>2.4154879744189999E-3</v>
      </c>
      <c r="F5" s="7" t="s">
        <v>279</v>
      </c>
      <c r="G5" s="3" t="s">
        <v>129</v>
      </c>
      <c r="H5" s="23">
        <v>1.5772358179092401</v>
      </c>
      <c r="I5" s="4">
        <v>1.4</v>
      </c>
      <c r="J5" s="148">
        <v>0.99998699301276683</v>
      </c>
      <c r="K5" s="145" t="s">
        <v>50</v>
      </c>
      <c r="L5" s="139" t="s">
        <v>50</v>
      </c>
      <c r="M5" s="137">
        <v>0</v>
      </c>
      <c r="N5" s="95">
        <v>0</v>
      </c>
      <c r="O5" s="95">
        <v>0</v>
      </c>
      <c r="P5" s="95">
        <v>0</v>
      </c>
      <c r="Q5" s="95">
        <v>0</v>
      </c>
      <c r="R5" s="95">
        <v>0</v>
      </c>
      <c r="S5" s="95">
        <v>0.12761944868586303</v>
      </c>
      <c r="T5" s="95">
        <v>0.20705626313238143</v>
      </c>
      <c r="U5" s="95">
        <v>0.22729125609780332</v>
      </c>
      <c r="V5" s="95">
        <v>0.30546329095422181</v>
      </c>
      <c r="W5" s="95">
        <v>0.44125034759469145</v>
      </c>
      <c r="X5" s="96">
        <v>1.0623789251116493</v>
      </c>
      <c r="Y5" s="3">
        <v>170.02069640478601</v>
      </c>
      <c r="Z5" s="3">
        <v>282.080456875989</v>
      </c>
      <c r="AA5" s="3">
        <v>467.97511319843699</v>
      </c>
      <c r="AB5" s="95">
        <v>93.449662852611198</v>
      </c>
      <c r="AC5" s="95">
        <v>130.95075542190901</v>
      </c>
      <c r="AD5" s="95">
        <v>204.46256274397601</v>
      </c>
      <c r="AE5" s="95">
        <v>235.685654358802</v>
      </c>
      <c r="AF5" s="95">
        <v>274.26771122603299</v>
      </c>
      <c r="AG5" s="96">
        <v>369.08031672416303</v>
      </c>
      <c r="AY5" s="163" t="s">
        <v>19</v>
      </c>
      <c r="AZ5" s="92" t="s">
        <v>50</v>
      </c>
      <c r="BA5" s="22" t="b">
        <v>1</v>
      </c>
      <c r="BB5" s="4">
        <v>1.4</v>
      </c>
      <c r="BC5" s="23">
        <v>1.5772358179092401</v>
      </c>
      <c r="BD5" s="58" t="s">
        <v>298</v>
      </c>
      <c r="BE5" s="68" t="s">
        <v>19</v>
      </c>
      <c r="BF5" s="4">
        <v>2.7600700000000002</v>
      </c>
      <c r="BG5" s="16">
        <v>2.4154879744189999E-3</v>
      </c>
      <c r="BH5" s="5" t="s">
        <v>32</v>
      </c>
      <c r="BI5" t="s">
        <v>50</v>
      </c>
      <c r="BJ5" s="18" t="s">
        <v>208</v>
      </c>
      <c r="BK5" s="18" t="s">
        <v>208</v>
      </c>
      <c r="BL5" s="5" t="s">
        <v>0</v>
      </c>
      <c r="BM5" s="23" t="s">
        <v>80</v>
      </c>
      <c r="BN5" s="22"/>
      <c r="BO5" s="22"/>
      <c r="BP5" s="11"/>
      <c r="BQ5" s="8">
        <v>0.13227383074280999</v>
      </c>
      <c r="BR5" s="9">
        <v>0.21171064518930999</v>
      </c>
      <c r="BS5" s="9">
        <v>0.23194563815468699</v>
      </c>
      <c r="BT5" s="9">
        <v>0.31011767301120902</v>
      </c>
      <c r="BU5" s="9">
        <v>0.44590472965158101</v>
      </c>
      <c r="BV5" s="10">
        <v>1.0670333071686799</v>
      </c>
      <c r="BW5" s="14"/>
      <c r="BX5" s="3">
        <v>2760.07</v>
      </c>
      <c r="BY5" s="5">
        <v>25</v>
      </c>
      <c r="BZ5" s="5" t="s">
        <v>32</v>
      </c>
      <c r="CA5" s="5">
        <v>0</v>
      </c>
      <c r="CB5" s="5" t="s">
        <v>44</v>
      </c>
      <c r="CC5" s="5"/>
      <c r="CD5" s="5"/>
      <c r="CE5" s="68" t="s">
        <v>19</v>
      </c>
      <c r="CF5" s="5"/>
      <c r="CG5" s="5" t="s">
        <v>50</v>
      </c>
      <c r="CH5" s="5"/>
      <c r="CI5" s="5" t="s">
        <v>50</v>
      </c>
      <c r="CJ5" s="5"/>
      <c r="CK5" s="4">
        <v>0</v>
      </c>
      <c r="CL5" s="5"/>
      <c r="CM5" s="5" t="s">
        <v>44</v>
      </c>
      <c r="CO5" t="s">
        <v>19</v>
      </c>
      <c r="CP5">
        <v>93.449662852611198</v>
      </c>
      <c r="CQ5">
        <v>130.95075542190901</v>
      </c>
      <c r="CR5">
        <v>204.46256274397601</v>
      </c>
      <c r="CS5">
        <v>235.685654358802</v>
      </c>
      <c r="CT5">
        <v>274.26771122603299</v>
      </c>
      <c r="CU5">
        <v>369.08031672416303</v>
      </c>
      <c r="CW5" s="14"/>
      <c r="CX5" s="15">
        <v>2.4154879744189999E-3</v>
      </c>
      <c r="CY5">
        <v>170.02069640478601</v>
      </c>
      <c r="CZ5">
        <v>282.080456875989</v>
      </c>
      <c r="DA5">
        <v>467.97511319843699</v>
      </c>
      <c r="DB5">
        <v>64.767143096645398</v>
      </c>
      <c r="DC5">
        <v>85.857534325274102</v>
      </c>
      <c r="DD5">
        <v>126.903591185409</v>
      </c>
      <c r="DE5">
        <v>141.81214925656701</v>
      </c>
      <c r="DF5">
        <v>156.267130513154</v>
      </c>
      <c r="DG5">
        <v>183.49713572166499</v>
      </c>
      <c r="DH5" s="14"/>
      <c r="DI5" s="14"/>
      <c r="DN5">
        <v>1</v>
      </c>
      <c r="DO5">
        <v>1</v>
      </c>
      <c r="DQ5">
        <v>1</v>
      </c>
      <c r="DR5">
        <v>1</v>
      </c>
      <c r="DS5" t="s">
        <v>296</v>
      </c>
      <c r="DT5" t="s">
        <v>297</v>
      </c>
    </row>
    <row r="6" spans="1:127" x14ac:dyDescent="0.3">
      <c r="A6" s="109" t="s">
        <v>20</v>
      </c>
      <c r="B6" s="95">
        <v>139</v>
      </c>
      <c r="C6" s="95">
        <v>124.75578996767101</v>
      </c>
      <c r="D6" s="4">
        <v>2.96326</v>
      </c>
      <c r="E6" s="16">
        <v>1.7886953094548E-3</v>
      </c>
      <c r="F6" s="7" t="s">
        <v>280</v>
      </c>
      <c r="G6" s="3" t="s">
        <v>129</v>
      </c>
      <c r="H6" s="23">
        <v>3.0424644947052002</v>
      </c>
      <c r="I6" s="4">
        <v>1.6</v>
      </c>
      <c r="J6" s="148">
        <v>1</v>
      </c>
      <c r="K6" s="145" t="s">
        <v>30</v>
      </c>
      <c r="L6" s="139" t="s">
        <v>50</v>
      </c>
      <c r="M6" s="137">
        <v>32.672462085675903</v>
      </c>
      <c r="N6" s="95">
        <v>32.672462085675903</v>
      </c>
      <c r="O6" s="95">
        <v>32.672462085675903</v>
      </c>
      <c r="P6" s="95">
        <v>32.672462085675903</v>
      </c>
      <c r="Q6" s="95">
        <v>32.672462085675903</v>
      </c>
      <c r="R6" s="95">
        <v>32.672462085675903</v>
      </c>
      <c r="S6" s="95">
        <v>2.321445315147908</v>
      </c>
      <c r="T6" s="95">
        <v>2.5012131674082765</v>
      </c>
      <c r="U6" s="95">
        <v>2.5288452357088138</v>
      </c>
      <c r="V6" s="95">
        <v>2.5367200529131293</v>
      </c>
      <c r="W6" s="95">
        <v>2.5802023348956924</v>
      </c>
      <c r="X6" s="96">
        <v>2.6187687221195541</v>
      </c>
      <c r="Y6" s="3">
        <v>77.892847846711703</v>
      </c>
      <c r="Z6" s="3">
        <v>204.20160038779201</v>
      </c>
      <c r="AA6" s="3">
        <v>411.22854439845099</v>
      </c>
      <c r="AB6" s="95">
        <v>72.238309444652501</v>
      </c>
      <c r="AC6" s="95">
        <v>96.1549612954324</v>
      </c>
      <c r="AD6" s="95">
        <v>140.475668622098</v>
      </c>
      <c r="AE6" s="95">
        <v>162.14671255845599</v>
      </c>
      <c r="AF6" s="95">
        <v>178.31180583655299</v>
      </c>
      <c r="AG6" s="96">
        <v>232.69238882405</v>
      </c>
      <c r="AY6" s="163" t="s">
        <v>20</v>
      </c>
      <c r="AZ6" s="92" t="s">
        <v>30</v>
      </c>
      <c r="BA6" s="22" t="b">
        <v>1</v>
      </c>
      <c r="BB6" s="4">
        <v>1.6</v>
      </c>
      <c r="BC6" s="58">
        <v>3.0424644947052002</v>
      </c>
      <c r="BD6" s="28" t="s">
        <v>299</v>
      </c>
      <c r="BE6" s="68" t="s">
        <v>20</v>
      </c>
      <c r="BF6" s="4">
        <v>2.96326</v>
      </c>
      <c r="BG6" s="16">
        <v>1.7886953094548E-3</v>
      </c>
      <c r="BH6" s="5" t="s">
        <v>31</v>
      </c>
      <c r="BI6" s="74" t="s">
        <v>30</v>
      </c>
      <c r="BJ6" s="77" t="s">
        <v>86</v>
      </c>
      <c r="BK6" s="77" t="s">
        <v>86</v>
      </c>
      <c r="BL6" s="78" t="s">
        <v>1</v>
      </c>
      <c r="BM6" s="58" t="s">
        <v>88</v>
      </c>
      <c r="BN6" s="22"/>
      <c r="BO6" s="22"/>
      <c r="BP6" s="11"/>
      <c r="BQ6" s="8">
        <v>2.3215187496730598</v>
      </c>
      <c r="BR6" s="9">
        <v>2.50128660193334</v>
      </c>
      <c r="BS6" s="9">
        <v>2.5289186702338902</v>
      </c>
      <c r="BT6" s="9">
        <v>2.5367934874381799</v>
      </c>
      <c r="BU6" s="9">
        <v>2.58027576942085</v>
      </c>
      <c r="BV6" s="10">
        <v>2.61884215664469</v>
      </c>
      <c r="BW6" s="14"/>
      <c r="BX6" s="3">
        <v>2963.26</v>
      </c>
      <c r="BY6" s="5">
        <v>5</v>
      </c>
      <c r="BZ6" s="5" t="s">
        <v>31</v>
      </c>
      <c r="CA6" s="5">
        <v>168094</v>
      </c>
      <c r="CB6" s="5">
        <v>168094</v>
      </c>
      <c r="CC6" s="5">
        <v>2</v>
      </c>
      <c r="CD6" s="5" t="s">
        <v>30</v>
      </c>
      <c r="CE6" s="68" t="s">
        <v>20</v>
      </c>
      <c r="CF6" s="5">
        <v>2</v>
      </c>
      <c r="CG6" s="5" t="s">
        <v>30</v>
      </c>
      <c r="CH6" s="5"/>
      <c r="CI6" s="5" t="s">
        <v>50</v>
      </c>
      <c r="CJ6" s="5">
        <v>0.5</v>
      </c>
      <c r="CK6" s="4">
        <v>56.726038214668897</v>
      </c>
      <c r="CL6" s="5">
        <v>56.726038214668897</v>
      </c>
      <c r="CM6" s="4">
        <v>56.726038214668897</v>
      </c>
      <c r="CO6" t="s">
        <v>20</v>
      </c>
      <c r="CP6">
        <v>72.238309444652501</v>
      </c>
      <c r="CQ6">
        <v>96.1549612954324</v>
      </c>
      <c r="CR6">
        <v>140.475668622098</v>
      </c>
      <c r="CS6">
        <v>162.14671255845599</v>
      </c>
      <c r="CT6">
        <v>178.31180583655299</v>
      </c>
      <c r="CU6">
        <v>232.69238882405</v>
      </c>
      <c r="CV6" s="19"/>
      <c r="CW6" s="14"/>
      <c r="CX6" s="15">
        <v>1.7886953094548E-3</v>
      </c>
      <c r="CY6">
        <v>77.892847846711703</v>
      </c>
      <c r="CZ6">
        <v>204.20160038779201</v>
      </c>
      <c r="DA6">
        <v>411.22854439845099</v>
      </c>
      <c r="DB6">
        <v>30.266374600366301</v>
      </c>
      <c r="DC6">
        <v>37.822376834068301</v>
      </c>
      <c r="DD6">
        <v>55.172954111208902</v>
      </c>
      <c r="DE6">
        <v>63.909799179547598</v>
      </c>
      <c r="DF6">
        <v>69.708281355820901</v>
      </c>
      <c r="DG6">
        <v>91.462620233294899</v>
      </c>
      <c r="DH6" s="14"/>
      <c r="DI6" s="14"/>
      <c r="DM6">
        <v>1</v>
      </c>
      <c r="DN6">
        <v>1</v>
      </c>
      <c r="DO6" t="s">
        <v>296</v>
      </c>
      <c r="DP6">
        <v>1</v>
      </c>
      <c r="DQ6">
        <v>1</v>
      </c>
      <c r="DR6">
        <v>2</v>
      </c>
      <c r="DS6" t="s">
        <v>296</v>
      </c>
      <c r="DT6" t="s">
        <v>296</v>
      </c>
      <c r="DU6" t="b">
        <v>0</v>
      </c>
    </row>
    <row r="7" spans="1:127" x14ac:dyDescent="0.3">
      <c r="A7" s="109" t="s">
        <v>2</v>
      </c>
      <c r="B7" s="95">
        <v>132</v>
      </c>
      <c r="C7" s="95">
        <v>196.472259490233</v>
      </c>
      <c r="D7" s="4">
        <v>0.79327499999999995</v>
      </c>
      <c r="E7" s="16">
        <v>1.5332363633946001E-3</v>
      </c>
      <c r="F7" s="7" t="s">
        <v>281</v>
      </c>
      <c r="G7" s="3" t="s">
        <v>129</v>
      </c>
      <c r="H7" s="23">
        <v>1.7247385978698699</v>
      </c>
      <c r="I7" s="4">
        <v>1.7</v>
      </c>
      <c r="J7" s="148">
        <v>0.92290780988582521</v>
      </c>
      <c r="K7" s="145" t="s">
        <v>34</v>
      </c>
      <c r="L7" s="139" t="s">
        <v>30</v>
      </c>
      <c r="M7" s="137">
        <v>0</v>
      </c>
      <c r="N7" s="95">
        <v>0</v>
      </c>
      <c r="O7" s="95">
        <v>0</v>
      </c>
      <c r="P7" s="95">
        <v>0</v>
      </c>
      <c r="Q7" s="95">
        <v>12.2731713466326</v>
      </c>
      <c r="R7" s="95">
        <v>199.76426838107801</v>
      </c>
      <c r="S7" s="95">
        <v>5.7069543685761559</v>
      </c>
      <c r="T7" s="95">
        <v>12.593038698273158</v>
      </c>
      <c r="U7" s="95">
        <v>14.303316293852069</v>
      </c>
      <c r="V7" s="95">
        <v>14.359468536540419</v>
      </c>
      <c r="W7" s="95">
        <v>15.636107444276197</v>
      </c>
      <c r="X7" s="96">
        <v>18.908927410056286</v>
      </c>
      <c r="Y7" s="3">
        <v>139.37132086486301</v>
      </c>
      <c r="Z7" s="3">
        <v>397.16283997791601</v>
      </c>
      <c r="AA7" s="3">
        <v>1271.4143415188901</v>
      </c>
      <c r="AB7" s="95">
        <v>57.730233318255102</v>
      </c>
      <c r="AC7" s="95">
        <v>81.896132605717497</v>
      </c>
      <c r="AD7" s="95">
        <v>112.723847443701</v>
      </c>
      <c r="AE7" s="95">
        <v>127.61254751385999</v>
      </c>
      <c r="AF7" s="95">
        <v>143.404503162634</v>
      </c>
      <c r="AG7" s="96">
        <v>178.38847391407199</v>
      </c>
      <c r="AY7" s="163" t="s">
        <v>2</v>
      </c>
      <c r="AZ7" s="92" t="s">
        <v>30</v>
      </c>
      <c r="BA7" s="22" t="b">
        <v>1</v>
      </c>
      <c r="BB7" s="4">
        <v>1.7</v>
      </c>
      <c r="BC7" s="23">
        <v>1.7247385978698699</v>
      </c>
      <c r="BD7" s="58" t="s">
        <v>298</v>
      </c>
      <c r="BE7" s="68" t="s">
        <v>2</v>
      </c>
      <c r="BF7" s="4">
        <v>0.79327499999999995</v>
      </c>
      <c r="BG7" s="16">
        <v>1.5332363633946001E-3</v>
      </c>
      <c r="BH7" s="5" t="s">
        <v>34</v>
      </c>
      <c r="BI7" t="s">
        <v>30</v>
      </c>
      <c r="BJ7" s="18" t="s">
        <v>208</v>
      </c>
      <c r="BK7" s="18" t="s">
        <v>86</v>
      </c>
      <c r="BL7" s="5" t="s">
        <v>1</v>
      </c>
      <c r="BM7" s="23" t="s">
        <v>80</v>
      </c>
      <c r="BN7" s="22"/>
      <c r="BO7" s="22"/>
      <c r="BP7" s="11"/>
      <c r="BQ7" s="8">
        <v>5.70823000738116</v>
      </c>
      <c r="BR7" s="9">
        <v>12.5943143370783</v>
      </c>
      <c r="BS7" s="9">
        <v>14.3045919326569</v>
      </c>
      <c r="BT7" s="9">
        <v>14.3607441753456</v>
      </c>
      <c r="BU7" s="9">
        <v>15.637383083081399</v>
      </c>
      <c r="BV7" s="10">
        <v>18.910203048861799</v>
      </c>
      <c r="BW7" s="14"/>
      <c r="BX7" s="3">
        <v>793.27499999999998</v>
      </c>
      <c r="BY7" s="5">
        <v>100</v>
      </c>
      <c r="BZ7" s="5" t="s">
        <v>34</v>
      </c>
      <c r="CA7" s="5">
        <v>178499</v>
      </c>
      <c r="CB7" s="5">
        <v>28157</v>
      </c>
      <c r="CC7" s="5">
        <v>2</v>
      </c>
      <c r="CD7" s="5" t="s">
        <v>30</v>
      </c>
      <c r="CE7" s="68" t="s">
        <v>2</v>
      </c>
      <c r="CF7" s="5">
        <v>100</v>
      </c>
      <c r="CG7" s="5" t="s">
        <v>34</v>
      </c>
      <c r="CH7" s="5">
        <v>2</v>
      </c>
      <c r="CI7" s="5" t="s">
        <v>30</v>
      </c>
      <c r="CJ7" s="5">
        <v>0.5</v>
      </c>
      <c r="CK7" s="4">
        <v>225.01528473732299</v>
      </c>
      <c r="CL7" s="5">
        <v>35.494626705745098</v>
      </c>
      <c r="CM7" s="4">
        <v>35.494626705745098</v>
      </c>
      <c r="CO7" t="s">
        <v>2</v>
      </c>
      <c r="CP7">
        <v>57.730233318255102</v>
      </c>
      <c r="CQ7">
        <v>81.896132605717497</v>
      </c>
      <c r="CR7">
        <v>112.723847443701</v>
      </c>
      <c r="CS7">
        <v>127.61254751385999</v>
      </c>
      <c r="CT7">
        <v>143.404503162634</v>
      </c>
      <c r="CU7">
        <v>178.38847391407199</v>
      </c>
      <c r="CV7" s="19"/>
      <c r="CW7" s="14"/>
      <c r="CX7" s="15">
        <v>1.5332363633946001E-3</v>
      </c>
      <c r="CY7">
        <v>139.37132086486301</v>
      </c>
      <c r="CZ7">
        <v>397.16283997791601</v>
      </c>
      <c r="DA7">
        <v>1271.4143415188901</v>
      </c>
      <c r="DB7">
        <v>28.802874970265599</v>
      </c>
      <c r="DC7">
        <v>37.025404340878801</v>
      </c>
      <c r="DD7">
        <v>41.055971029910602</v>
      </c>
      <c r="DE7">
        <v>45.676405671218298</v>
      </c>
      <c r="DF7">
        <v>50.712401909964903</v>
      </c>
      <c r="DG7">
        <v>51.039126733966398</v>
      </c>
      <c r="DH7" s="14"/>
      <c r="DI7" s="14"/>
      <c r="DO7" t="s">
        <v>296</v>
      </c>
      <c r="DP7">
        <v>1</v>
      </c>
      <c r="DR7">
        <v>1</v>
      </c>
      <c r="DS7">
        <v>1</v>
      </c>
      <c r="DT7" t="s">
        <v>297</v>
      </c>
    </row>
    <row r="8" spans="1:127" x14ac:dyDescent="0.3">
      <c r="A8" s="109" t="s">
        <v>39</v>
      </c>
      <c r="B8" s="95">
        <v>131</v>
      </c>
      <c r="C8" s="171" t="s">
        <v>50</v>
      </c>
      <c r="D8" s="4">
        <v>0.230849</v>
      </c>
      <c r="E8" s="16">
        <v>1.7566224084452901E-2</v>
      </c>
      <c r="F8" s="7" t="s">
        <v>50</v>
      </c>
      <c r="G8" s="3" t="s">
        <v>122</v>
      </c>
      <c r="H8" s="7" t="s">
        <v>50</v>
      </c>
      <c r="I8" s="97" t="s">
        <v>50</v>
      </c>
      <c r="J8" s="147" t="s">
        <v>50</v>
      </c>
      <c r="K8" s="145" t="s">
        <v>34</v>
      </c>
      <c r="L8" s="139" t="s">
        <v>50</v>
      </c>
      <c r="M8" s="137">
        <v>0</v>
      </c>
      <c r="N8" s="95">
        <v>0</v>
      </c>
      <c r="O8" s="95">
        <v>0</v>
      </c>
      <c r="P8" s="95">
        <v>0</v>
      </c>
      <c r="Q8" s="95">
        <v>11.7046207694207</v>
      </c>
      <c r="R8" s="95">
        <v>14.156439923932901</v>
      </c>
      <c r="S8" s="95">
        <v>4.6543969894823024E-3</v>
      </c>
      <c r="T8" s="95">
        <v>4.6543969894823024E-3</v>
      </c>
      <c r="U8" s="95">
        <v>5.8714699809520945E-3</v>
      </c>
      <c r="V8" s="95">
        <v>7.3879000634000588E-3</v>
      </c>
      <c r="W8" s="95">
        <v>5.0693914222269973E-2</v>
      </c>
      <c r="X8" s="96">
        <v>5.2214235825047979E-2</v>
      </c>
      <c r="Y8" s="7" t="s">
        <v>50</v>
      </c>
      <c r="Z8" s="7" t="s">
        <v>50</v>
      </c>
      <c r="AA8" s="7" t="s">
        <v>50</v>
      </c>
      <c r="AB8" s="95">
        <v>1297.05269822949</v>
      </c>
      <c r="AC8" s="95">
        <v>1798.1535897070601</v>
      </c>
      <c r="AD8" s="95">
        <v>2942.6253974320498</v>
      </c>
      <c r="AE8" s="95">
        <v>3477.0782066296001</v>
      </c>
      <c r="AF8" s="95">
        <v>3966.2471954601301</v>
      </c>
      <c r="AG8" s="96">
        <v>5282.0421105568303</v>
      </c>
      <c r="AY8" s="163" t="s">
        <v>39</v>
      </c>
      <c r="AZ8" s="92" t="s">
        <v>50</v>
      </c>
      <c r="BA8" s="22" t="b">
        <v>0</v>
      </c>
      <c r="BB8" s="4"/>
      <c r="BC8" s="23"/>
      <c r="BD8" s="58"/>
      <c r="BE8" s="68"/>
      <c r="BF8" s="4"/>
      <c r="BG8" s="16"/>
      <c r="BH8" s="5"/>
      <c r="BJ8" s="18"/>
      <c r="BK8" s="18"/>
      <c r="BL8" s="5"/>
      <c r="BM8" s="23"/>
      <c r="BN8" s="22"/>
      <c r="BO8" s="22"/>
      <c r="BP8" s="11"/>
      <c r="BQ8" s="8">
        <v>7.3883594815183806E-2</v>
      </c>
      <c r="BR8" s="9">
        <v>7.3883594815183806E-2</v>
      </c>
      <c r="BS8" s="9">
        <v>7.5100667806661497E-2</v>
      </c>
      <c r="BT8" s="9">
        <v>7.6617097889130695E-2</v>
      </c>
      <c r="BU8" s="9">
        <v>0.119923112047971</v>
      </c>
      <c r="BV8" s="10">
        <v>0.12144343365075699</v>
      </c>
      <c r="BW8" s="14"/>
      <c r="BX8" s="3">
        <v>230.84899999999999</v>
      </c>
      <c r="BY8" s="5"/>
      <c r="BZ8" s="5" t="s">
        <v>44</v>
      </c>
      <c r="CA8" s="5">
        <v>0</v>
      </c>
      <c r="CB8" s="5"/>
      <c r="CC8" s="5"/>
      <c r="CD8" s="5" t="s">
        <v>296</v>
      </c>
      <c r="CE8" s="68" t="s">
        <v>39</v>
      </c>
      <c r="CF8" s="5">
        <v>100</v>
      </c>
      <c r="CG8" s="5" t="s">
        <v>34</v>
      </c>
      <c r="CH8" s="5"/>
      <c r="CI8" s="5" t="s">
        <v>50</v>
      </c>
      <c r="CJ8" s="5"/>
      <c r="CK8" s="4">
        <v>0</v>
      </c>
      <c r="CL8" s="5"/>
      <c r="CM8" s="4" t="s">
        <v>44</v>
      </c>
      <c r="CO8" t="s">
        <v>39</v>
      </c>
      <c r="CP8">
        <v>1297.05269822949</v>
      </c>
      <c r="CQ8">
        <v>1798.1535897070601</v>
      </c>
      <c r="CR8">
        <v>2942.6253974320498</v>
      </c>
      <c r="CS8">
        <v>3477.0782066296001</v>
      </c>
      <c r="CT8">
        <v>3966.2471954601301</v>
      </c>
      <c r="CU8">
        <v>5282.0421105568303</v>
      </c>
      <c r="CV8" s="19"/>
      <c r="CW8" s="14"/>
      <c r="CX8" s="15">
        <v>1.7566224084452901E-2</v>
      </c>
      <c r="DB8">
        <v>1036.96548615648</v>
      </c>
      <c r="DC8">
        <v>1384.89331366844</v>
      </c>
      <c r="DD8">
        <v>2086.3375850008701</v>
      </c>
      <c r="DE8">
        <v>2225.7582905457198</v>
      </c>
      <c r="DF8">
        <v>2100.39709287919</v>
      </c>
      <c r="DG8">
        <v>2558.55711594683</v>
      </c>
      <c r="DH8" s="14"/>
      <c r="DI8" s="14"/>
      <c r="DO8" t="s">
        <v>296</v>
      </c>
      <c r="DR8">
        <v>0</v>
      </c>
      <c r="DS8" t="s">
        <v>296</v>
      </c>
      <c r="DT8" t="s">
        <v>296</v>
      </c>
    </row>
    <row r="9" spans="1:127" x14ac:dyDescent="0.3">
      <c r="A9" s="109" t="s">
        <v>21</v>
      </c>
      <c r="B9" s="95">
        <v>127</v>
      </c>
      <c r="C9" s="95">
        <v>155.17773655213301</v>
      </c>
      <c r="D9" s="4">
        <v>0.45486399999999999</v>
      </c>
      <c r="E9" s="16">
        <v>3.5801112972605998E-3</v>
      </c>
      <c r="F9" s="7" t="s">
        <v>282</v>
      </c>
      <c r="G9" s="3" t="s">
        <v>129</v>
      </c>
      <c r="H9" s="23">
        <v>2.6</v>
      </c>
      <c r="I9" s="4">
        <v>2.6</v>
      </c>
      <c r="J9" s="148">
        <v>0.88422113728203477</v>
      </c>
      <c r="K9" s="145" t="s">
        <v>31</v>
      </c>
      <c r="L9" s="139" t="s">
        <v>34</v>
      </c>
      <c r="M9" s="137">
        <v>0</v>
      </c>
      <c r="N9" s="95">
        <v>5.4367898976397298</v>
      </c>
      <c r="O9" s="95">
        <v>20.779837489887001</v>
      </c>
      <c r="P9" s="95">
        <v>41.825688557458903</v>
      </c>
      <c r="Q9" s="95">
        <v>85.056192620211704</v>
      </c>
      <c r="R9" s="95">
        <v>85.056192620211704</v>
      </c>
      <c r="S9" s="95">
        <v>9.1370719548178131E-2</v>
      </c>
      <c r="T9" s="95">
        <v>0.24557034367769268</v>
      </c>
      <c r="U9" s="95">
        <v>2.0212597922798419</v>
      </c>
      <c r="V9" s="95">
        <v>4.4569494141163295</v>
      </c>
      <c r="W9" s="95">
        <v>8.3328076089915672</v>
      </c>
      <c r="X9" s="96">
        <v>8.674584922363147</v>
      </c>
      <c r="Y9" s="3">
        <v>272.47096391357297</v>
      </c>
      <c r="Z9" s="3">
        <v>421.37832523288898</v>
      </c>
      <c r="AA9" s="3">
        <v>651.662677430141</v>
      </c>
      <c r="AB9" s="95">
        <v>162.542861849644</v>
      </c>
      <c r="AC9" s="95">
        <v>228.075557710656</v>
      </c>
      <c r="AD9" s="95">
        <v>338.93937588352497</v>
      </c>
      <c r="AE9" s="95">
        <v>383.71481718091201</v>
      </c>
      <c r="AF9" s="95">
        <v>423.71010695303499</v>
      </c>
      <c r="AG9" s="96">
        <v>533.88448389644702</v>
      </c>
      <c r="AY9" s="163" t="s">
        <v>21</v>
      </c>
      <c r="AZ9" s="92" t="s">
        <v>31</v>
      </c>
      <c r="BA9" s="22" t="b">
        <v>1</v>
      </c>
      <c r="BB9" s="29">
        <v>2.6</v>
      </c>
      <c r="BC9" s="34">
        <v>2.6</v>
      </c>
      <c r="BD9" s="58" t="s">
        <v>299</v>
      </c>
      <c r="BE9" s="68" t="s">
        <v>21</v>
      </c>
      <c r="BF9" s="4">
        <v>0.45486399999999999</v>
      </c>
      <c r="BG9" s="16">
        <v>3.5801112972605998E-3</v>
      </c>
      <c r="BH9" s="5" t="s">
        <v>32</v>
      </c>
      <c r="BI9" s="74" t="s">
        <v>31</v>
      </c>
      <c r="BJ9" s="77" t="s">
        <v>86</v>
      </c>
      <c r="BK9" s="77" t="s">
        <v>86</v>
      </c>
      <c r="BL9" s="78" t="s">
        <v>1</v>
      </c>
      <c r="BM9" s="58" t="s">
        <v>80</v>
      </c>
      <c r="BN9" s="22"/>
      <c r="BO9" s="22"/>
      <c r="BP9" s="11"/>
      <c r="BQ9" s="8">
        <v>0.224427256856607</v>
      </c>
      <c r="BR9" s="9">
        <v>0.37862688098619202</v>
      </c>
      <c r="BS9" s="9">
        <v>2.1543163295883998</v>
      </c>
      <c r="BT9" s="9">
        <v>4.5900059514248399</v>
      </c>
      <c r="BU9" s="9">
        <v>8.46586414629998</v>
      </c>
      <c r="BV9" s="10">
        <v>8.8076414596716806</v>
      </c>
      <c r="BW9" s="14"/>
      <c r="BX9" s="3">
        <v>454.86399999999998</v>
      </c>
      <c r="BY9" s="5">
        <v>25</v>
      </c>
      <c r="BZ9" s="5" t="s">
        <v>32</v>
      </c>
      <c r="CA9" s="5">
        <v>56383</v>
      </c>
      <c r="CB9" s="5">
        <v>13194</v>
      </c>
      <c r="CC9" s="5">
        <v>5</v>
      </c>
      <c r="CD9" s="5" t="s">
        <v>31</v>
      </c>
      <c r="CE9" s="68" t="s">
        <v>21</v>
      </c>
      <c r="CF9" s="5">
        <v>5</v>
      </c>
      <c r="CG9" s="5" t="s">
        <v>31</v>
      </c>
      <c r="CH9" s="5">
        <v>100</v>
      </c>
      <c r="CI9" s="5" t="s">
        <v>34</v>
      </c>
      <c r="CJ9" s="5">
        <v>0.2</v>
      </c>
      <c r="CK9" s="4">
        <v>123.955731823138</v>
      </c>
      <c r="CL9" s="5">
        <v>29.0064722642372</v>
      </c>
      <c r="CM9" s="4">
        <v>29.0064722642372</v>
      </c>
      <c r="CO9" t="s">
        <v>21</v>
      </c>
      <c r="CP9">
        <v>162.542861849644</v>
      </c>
      <c r="CQ9">
        <v>228.075557710656</v>
      </c>
      <c r="CR9">
        <v>338.93937588352497</v>
      </c>
      <c r="CS9">
        <v>383.71481718091201</v>
      </c>
      <c r="CT9">
        <v>423.71010695303499</v>
      </c>
      <c r="CU9">
        <v>533.88448389644702</v>
      </c>
      <c r="CV9" s="19"/>
      <c r="CW9" s="14"/>
      <c r="CX9" s="15">
        <v>3.5801112972605998E-3</v>
      </c>
      <c r="CY9">
        <v>272.47096391357297</v>
      </c>
      <c r="CZ9">
        <v>421.37832523288898</v>
      </c>
      <c r="DA9">
        <v>651.662677430141</v>
      </c>
      <c r="DB9">
        <v>114.98467105478601</v>
      </c>
      <c r="DC9">
        <v>127.19963675912901</v>
      </c>
      <c r="DD9">
        <v>145.229656752995</v>
      </c>
      <c r="DE9">
        <v>146.32582212160801</v>
      </c>
      <c r="DF9">
        <v>131.640830928735</v>
      </c>
      <c r="DG9">
        <v>160.3310917821</v>
      </c>
      <c r="DH9" s="14"/>
      <c r="DI9" s="14"/>
      <c r="DN9">
        <v>1</v>
      </c>
      <c r="DO9">
        <v>1</v>
      </c>
      <c r="DP9">
        <v>1</v>
      </c>
      <c r="DQ9">
        <v>1</v>
      </c>
      <c r="DR9">
        <v>2</v>
      </c>
      <c r="DS9" t="s">
        <v>296</v>
      </c>
      <c r="DT9" t="s">
        <v>297</v>
      </c>
    </row>
    <row r="10" spans="1:127" x14ac:dyDescent="0.3">
      <c r="A10" s="109" t="s">
        <v>40</v>
      </c>
      <c r="B10" s="95">
        <v>126</v>
      </c>
      <c r="C10" s="171" t="s">
        <v>50</v>
      </c>
      <c r="D10" s="4">
        <v>0.41472300000000001</v>
      </c>
      <c r="E10" s="16">
        <v>1.32066748562444E-2</v>
      </c>
      <c r="F10" s="7" t="s">
        <v>300</v>
      </c>
      <c r="G10" s="3" t="s">
        <v>122</v>
      </c>
      <c r="H10" s="7" t="s">
        <v>50</v>
      </c>
      <c r="I10" s="97" t="s">
        <v>50</v>
      </c>
      <c r="J10" s="148">
        <v>0.9426587640564128</v>
      </c>
      <c r="K10" s="145" t="s">
        <v>50</v>
      </c>
      <c r="L10" s="139" t="s">
        <v>50</v>
      </c>
      <c r="M10" s="137">
        <v>0</v>
      </c>
      <c r="N10" s="95">
        <v>0</v>
      </c>
      <c r="O10" s="95">
        <v>0</v>
      </c>
      <c r="P10" s="95">
        <v>0</v>
      </c>
      <c r="Q10" s="95">
        <v>0</v>
      </c>
      <c r="R10" s="95">
        <v>0</v>
      </c>
      <c r="S10" s="95">
        <v>1.2755375298128195E-2</v>
      </c>
      <c r="T10" s="95">
        <v>1.2755375298128195E-2</v>
      </c>
      <c r="U10" s="95">
        <v>1.2755375298128195E-2</v>
      </c>
      <c r="V10" s="95">
        <v>1.2755375298128195E-2</v>
      </c>
      <c r="W10" s="95">
        <v>1.2755375298128195E-2</v>
      </c>
      <c r="X10" s="96">
        <v>1.2755375298128195E-2</v>
      </c>
      <c r="Y10" s="7" t="s">
        <v>50</v>
      </c>
      <c r="Z10" s="7" t="s">
        <v>50</v>
      </c>
      <c r="AA10" s="7" t="s">
        <v>50</v>
      </c>
      <c r="AB10" s="95">
        <v>743.112195824786</v>
      </c>
      <c r="AC10" s="95">
        <v>1122.1144537897101</v>
      </c>
      <c r="AD10" s="95">
        <v>1695.86790550979</v>
      </c>
      <c r="AE10" s="95">
        <v>2014.6974494338201</v>
      </c>
      <c r="AF10" s="95">
        <v>2347.4856510128402</v>
      </c>
      <c r="AG10" s="96">
        <v>3256.91888527423</v>
      </c>
      <c r="AY10" s="163" t="s">
        <v>40</v>
      </c>
      <c r="AZ10" s="92" t="s">
        <v>50</v>
      </c>
      <c r="BA10" s="22" t="b">
        <v>0</v>
      </c>
      <c r="BB10" s="29"/>
      <c r="BC10" s="34"/>
      <c r="BD10" s="58"/>
      <c r="BE10" s="68"/>
      <c r="BF10" s="4"/>
      <c r="BG10" s="16"/>
      <c r="BH10" s="5"/>
      <c r="BI10" s="74"/>
      <c r="BJ10" s="77"/>
      <c r="BK10" s="77"/>
      <c r="BL10" s="78"/>
      <c r="BM10" s="58"/>
      <c r="BN10" s="22"/>
      <c r="BO10" s="22"/>
      <c r="BP10" s="11"/>
      <c r="BQ10" s="8">
        <v>0.19818036778020201</v>
      </c>
      <c r="BR10" s="9">
        <v>0.198180367780185</v>
      </c>
      <c r="BS10" s="9">
        <v>0.19818036778016701</v>
      </c>
      <c r="BT10" s="9">
        <v>0.19818036778020201</v>
      </c>
      <c r="BU10" s="9">
        <v>0.198180367780185</v>
      </c>
      <c r="BV10" s="10">
        <v>0.198180367780185</v>
      </c>
      <c r="BW10" s="14"/>
      <c r="BX10" s="3">
        <v>414.72300000000001</v>
      </c>
      <c r="BY10" s="5"/>
      <c r="BZ10" s="5" t="s">
        <v>44</v>
      </c>
      <c r="CA10" s="5">
        <v>0</v>
      </c>
      <c r="CB10" s="5"/>
      <c r="CC10" s="5"/>
      <c r="CD10" s="5"/>
      <c r="CE10" s="68" t="s">
        <v>40</v>
      </c>
      <c r="CF10" s="5"/>
      <c r="CG10" s="5" t="s">
        <v>50</v>
      </c>
      <c r="CH10" s="5"/>
      <c r="CI10" s="5" t="s">
        <v>50</v>
      </c>
      <c r="CJ10" s="5"/>
      <c r="CK10" s="4">
        <v>0</v>
      </c>
      <c r="CL10" s="5"/>
      <c r="CM10" s="4" t="s">
        <v>44</v>
      </c>
      <c r="CO10" t="s">
        <v>40</v>
      </c>
      <c r="CP10">
        <v>743.112195824786</v>
      </c>
      <c r="CQ10">
        <v>1122.1144537897101</v>
      </c>
      <c r="CR10">
        <v>1695.86790550979</v>
      </c>
      <c r="CS10">
        <v>2014.6974494338201</v>
      </c>
      <c r="CT10">
        <v>2347.4856510128402</v>
      </c>
      <c r="CU10">
        <v>3256.91888527423</v>
      </c>
      <c r="CV10" s="19"/>
      <c r="CW10" s="14"/>
      <c r="CX10" s="15">
        <v>1.32066748562444E-2</v>
      </c>
      <c r="DB10">
        <v>597.69263916258603</v>
      </c>
      <c r="DC10">
        <v>864.39003097026102</v>
      </c>
      <c r="DD10">
        <v>1242.8918018474301</v>
      </c>
      <c r="DE10">
        <v>1444.54868342334</v>
      </c>
      <c r="DF10">
        <v>1648.4703510225299</v>
      </c>
      <c r="DG10">
        <v>2174.0915527689499</v>
      </c>
      <c r="DH10" s="14"/>
      <c r="DI10" s="14"/>
      <c r="DO10" t="s">
        <v>296</v>
      </c>
      <c r="DR10">
        <v>0</v>
      </c>
      <c r="DS10" t="s">
        <v>296</v>
      </c>
      <c r="DT10" t="s">
        <v>296</v>
      </c>
    </row>
    <row r="11" spans="1:127" x14ac:dyDescent="0.3">
      <c r="A11" s="109" t="s">
        <v>22</v>
      </c>
      <c r="B11" s="95">
        <v>126</v>
      </c>
      <c r="C11" s="95">
        <v>161.269894386543</v>
      </c>
      <c r="D11" s="4">
        <v>0.54547500000000004</v>
      </c>
      <c r="E11" s="16">
        <v>5.0026505353704996E-3</v>
      </c>
      <c r="F11" s="7" t="s">
        <v>283</v>
      </c>
      <c r="G11" s="3" t="s">
        <v>129</v>
      </c>
      <c r="H11" s="23">
        <v>1.27729976177216</v>
      </c>
      <c r="I11" s="4">
        <v>1.8</v>
      </c>
      <c r="J11" s="148">
        <v>0.45438855841836273</v>
      </c>
      <c r="K11" s="145" t="s">
        <v>50</v>
      </c>
      <c r="L11" s="139" t="s">
        <v>206</v>
      </c>
      <c r="M11" s="137">
        <v>0</v>
      </c>
      <c r="N11" s="95">
        <v>0</v>
      </c>
      <c r="O11" s="95">
        <v>0</v>
      </c>
      <c r="P11" s="95">
        <v>0</v>
      </c>
      <c r="Q11" s="95">
        <v>0</v>
      </c>
      <c r="R11" s="95">
        <v>0</v>
      </c>
      <c r="S11" s="95">
        <v>0.12554131425570556</v>
      </c>
      <c r="T11" s="95">
        <v>0.15084259047889159</v>
      </c>
      <c r="U11" s="95">
        <v>2.2878221046870344</v>
      </c>
      <c r="V11" s="95">
        <v>5.9208053751392633</v>
      </c>
      <c r="W11" s="95">
        <v>11.215959271751299</v>
      </c>
      <c r="X11" s="96">
        <v>31.113623241905493</v>
      </c>
      <c r="Y11" s="3">
        <v>318.67200792401798</v>
      </c>
      <c r="Z11" s="3">
        <v>505.06818116131598</v>
      </c>
      <c r="AA11" s="3">
        <v>746.96592697099902</v>
      </c>
      <c r="AB11" s="95">
        <v>182.48945071845199</v>
      </c>
      <c r="AC11" s="95">
        <v>283.050515862346</v>
      </c>
      <c r="AD11" s="95">
        <v>436.08095780620698</v>
      </c>
      <c r="AE11" s="95">
        <v>493.275407151286</v>
      </c>
      <c r="AF11" s="95">
        <v>579.08872058498798</v>
      </c>
      <c r="AG11" s="96">
        <v>754.60341082685102</v>
      </c>
      <c r="AY11" s="163" t="s">
        <v>22</v>
      </c>
      <c r="AZ11" s="92" t="s">
        <v>206</v>
      </c>
      <c r="BA11" s="22" t="b">
        <v>1</v>
      </c>
      <c r="BB11" s="80">
        <v>1.8</v>
      </c>
      <c r="BC11" s="23">
        <v>1.27729976177216</v>
      </c>
      <c r="BD11" s="59" t="s">
        <v>301</v>
      </c>
      <c r="BE11" s="68" t="s">
        <v>22</v>
      </c>
      <c r="BF11" s="4">
        <v>0.54547500000000004</v>
      </c>
      <c r="BG11" s="16">
        <v>5.0026505353704996E-3</v>
      </c>
      <c r="BH11" s="5" t="s">
        <v>32</v>
      </c>
      <c r="BI11" t="s">
        <v>206</v>
      </c>
      <c r="BJ11" s="18" t="s">
        <v>208</v>
      </c>
      <c r="BK11" s="18" t="s">
        <v>86</v>
      </c>
      <c r="BL11" s="5" t="s">
        <v>3</v>
      </c>
      <c r="BM11" s="23" t="s">
        <v>89</v>
      </c>
      <c r="BN11" s="22"/>
      <c r="BO11" s="22"/>
      <c r="BP11" s="11"/>
      <c r="BQ11" s="8">
        <v>0.27857266715552997</v>
      </c>
      <c r="BR11" s="9">
        <v>0.30387394337871598</v>
      </c>
      <c r="BS11" s="9">
        <v>2.4408534575868699</v>
      </c>
      <c r="BT11" s="9">
        <v>6.0738367280390602</v>
      </c>
      <c r="BU11" s="9">
        <v>11.368990624651101</v>
      </c>
      <c r="BV11" s="10">
        <v>31.266654594805001</v>
      </c>
      <c r="BW11" s="14"/>
      <c r="BX11" s="3">
        <v>545.47500000000002</v>
      </c>
      <c r="BY11" s="5">
        <v>25</v>
      </c>
      <c r="BZ11" s="5" t="s">
        <v>32</v>
      </c>
      <c r="CA11" s="5">
        <v>9769</v>
      </c>
      <c r="CB11" s="5">
        <v>4949</v>
      </c>
      <c r="CC11" s="5">
        <v>1000</v>
      </c>
      <c r="CD11" s="5" t="s">
        <v>302</v>
      </c>
      <c r="CE11" s="68" t="s">
        <v>22</v>
      </c>
      <c r="CF11" s="5"/>
      <c r="CG11" s="5" t="s">
        <v>50</v>
      </c>
      <c r="CH11" s="5">
        <v>1000</v>
      </c>
      <c r="CI11" s="5" t="s">
        <v>206</v>
      </c>
      <c r="CJ11" s="5">
        <v>1E-3</v>
      </c>
      <c r="CK11" s="4">
        <v>17.909161739767999</v>
      </c>
      <c r="CL11" s="5">
        <v>9.0728264356753208</v>
      </c>
      <c r="CM11" s="4">
        <v>9.0728264356753208</v>
      </c>
      <c r="CO11" t="s">
        <v>22</v>
      </c>
      <c r="CP11">
        <v>182.48945071845199</v>
      </c>
      <c r="CQ11">
        <v>283.050515862346</v>
      </c>
      <c r="CR11">
        <v>436.08095780620698</v>
      </c>
      <c r="CS11">
        <v>493.275407151286</v>
      </c>
      <c r="CT11">
        <v>579.08872058498798</v>
      </c>
      <c r="CU11">
        <v>754.60341082685102</v>
      </c>
      <c r="CV11" s="19"/>
      <c r="CW11" s="14"/>
      <c r="CX11" s="15">
        <v>5.0026505353704996E-3</v>
      </c>
      <c r="CY11">
        <v>318.67200792401798</v>
      </c>
      <c r="CZ11">
        <v>505.06818116131598</v>
      </c>
      <c r="DA11">
        <v>746.96592697099902</v>
      </c>
      <c r="DB11">
        <v>135.40922698159</v>
      </c>
      <c r="DC11">
        <v>190.77417505173599</v>
      </c>
      <c r="DD11">
        <v>240.37106234303801</v>
      </c>
      <c r="DE11">
        <v>265.66003447935799</v>
      </c>
      <c r="DF11">
        <v>309.16404753574398</v>
      </c>
      <c r="DG11">
        <v>335.42675065062599</v>
      </c>
      <c r="DH11" s="14"/>
      <c r="DI11" s="14"/>
      <c r="DJ11">
        <v>0.45833333333333331</v>
      </c>
      <c r="DN11">
        <v>1</v>
      </c>
      <c r="DO11">
        <v>1</v>
      </c>
      <c r="DP11">
        <v>1</v>
      </c>
      <c r="DQ11">
        <v>1</v>
      </c>
      <c r="DR11">
        <v>2</v>
      </c>
      <c r="DS11" t="s">
        <v>296</v>
      </c>
      <c r="DT11" t="s">
        <v>297</v>
      </c>
    </row>
    <row r="12" spans="1:127" x14ac:dyDescent="0.3">
      <c r="A12" s="109" t="s">
        <v>41</v>
      </c>
      <c r="B12" s="95">
        <v>116</v>
      </c>
      <c r="C12" s="171" t="s">
        <v>50</v>
      </c>
      <c r="D12" s="4">
        <v>2.8751700000000002</v>
      </c>
      <c r="E12" s="16">
        <v>1.8162245521840001E-3</v>
      </c>
      <c r="F12" s="7" t="s">
        <v>50</v>
      </c>
      <c r="G12" s="3" t="s">
        <v>129</v>
      </c>
      <c r="H12" s="7">
        <v>12</v>
      </c>
      <c r="I12" s="98">
        <v>1.3</v>
      </c>
      <c r="J12" s="147" t="s">
        <v>50</v>
      </c>
      <c r="K12" s="145" t="s">
        <v>30</v>
      </c>
      <c r="L12" s="139" t="s">
        <v>50</v>
      </c>
      <c r="M12" s="137">
        <v>56.467965372482297</v>
      </c>
      <c r="N12" s="95">
        <v>56.467965372482297</v>
      </c>
      <c r="O12" s="95">
        <v>56.467965372482297</v>
      </c>
      <c r="P12" s="95">
        <v>56.467965372482297</v>
      </c>
      <c r="Q12" s="95">
        <v>56.467965372482297</v>
      </c>
      <c r="R12" s="95">
        <v>56.467965372482297</v>
      </c>
      <c r="S12" s="95">
        <v>2.5056658195153259</v>
      </c>
      <c r="T12" s="95">
        <v>2.7488117430712511</v>
      </c>
      <c r="U12" s="95">
        <v>3.0487574057087339</v>
      </c>
      <c r="V12" s="95">
        <v>3.3922276705266818</v>
      </c>
      <c r="W12" s="95">
        <v>3.8125007376259488</v>
      </c>
      <c r="X12" s="96">
        <v>6.1413529187087024</v>
      </c>
      <c r="Y12" s="7">
        <v>34</v>
      </c>
      <c r="Z12" s="7">
        <v>300</v>
      </c>
      <c r="AA12" s="7" t="s">
        <v>50</v>
      </c>
      <c r="AB12" s="95">
        <v>46.410348257260601</v>
      </c>
      <c r="AC12" s="95">
        <v>60.039617402117798</v>
      </c>
      <c r="AD12" s="95">
        <v>81.019011966525596</v>
      </c>
      <c r="AE12" s="95">
        <v>90.692760566358103</v>
      </c>
      <c r="AF12" s="95">
        <v>100.861399524883</v>
      </c>
      <c r="AG12" s="96">
        <v>126.94518984715999</v>
      </c>
      <c r="AY12" s="163" t="s">
        <v>41</v>
      </c>
      <c r="AZ12" s="92" t="s">
        <v>30</v>
      </c>
      <c r="BA12" s="22" t="b">
        <v>1</v>
      </c>
      <c r="BB12" s="75">
        <v>1.3</v>
      </c>
      <c r="BC12" s="89">
        <v>12</v>
      </c>
      <c r="BD12" s="28" t="s">
        <v>299</v>
      </c>
      <c r="BE12" s="68" t="s">
        <v>41</v>
      </c>
      <c r="BF12" s="4">
        <v>2.8751700000000002</v>
      </c>
      <c r="BG12" s="16">
        <v>1.8162245521840001E-3</v>
      </c>
      <c r="BH12" s="90" t="s">
        <v>50</v>
      </c>
      <c r="BI12" s="74" t="s">
        <v>30</v>
      </c>
      <c r="BJ12" s="77" t="s">
        <v>86</v>
      </c>
      <c r="BK12" s="77" t="s">
        <v>86</v>
      </c>
      <c r="BL12" s="78" t="s">
        <v>45</v>
      </c>
      <c r="BM12" s="85" t="s">
        <v>96</v>
      </c>
      <c r="BN12" s="22"/>
      <c r="BO12" s="22"/>
      <c r="BP12" s="11"/>
      <c r="BQ12" s="8">
        <v>2.79285582136625</v>
      </c>
      <c r="BR12" s="9">
        <v>3.0360017449221002</v>
      </c>
      <c r="BS12" s="9">
        <v>3.33594740756027</v>
      </c>
      <c r="BT12" s="9">
        <v>3.6794176723779599</v>
      </c>
      <c r="BU12" s="9">
        <v>4.0996907394772499</v>
      </c>
      <c r="BV12" s="10">
        <v>6.4285429205598197</v>
      </c>
      <c r="BW12" s="14"/>
      <c r="BX12" s="3">
        <v>2875.17</v>
      </c>
      <c r="BY12" s="5"/>
      <c r="BZ12" s="5" t="s">
        <v>44</v>
      </c>
      <c r="CA12" s="5"/>
      <c r="CB12" s="5"/>
      <c r="CC12" s="5">
        <v>2</v>
      </c>
      <c r="CD12" s="5" t="s">
        <v>30</v>
      </c>
      <c r="CE12" s="68" t="s">
        <v>41</v>
      </c>
      <c r="CF12" s="5">
        <v>2</v>
      </c>
      <c r="CG12" s="5" t="s">
        <v>30</v>
      </c>
      <c r="CH12" s="5"/>
      <c r="CI12" s="5" t="s">
        <v>50</v>
      </c>
      <c r="CJ12" s="5"/>
      <c r="CK12" s="19">
        <v>74.972610315216102</v>
      </c>
      <c r="CL12">
        <v>74.972610315216102</v>
      </c>
      <c r="CM12" s="4">
        <v>74.972610315216102</v>
      </c>
      <c r="CO12" t="s">
        <v>41</v>
      </c>
      <c r="CP12">
        <v>46.410348257260601</v>
      </c>
      <c r="CQ12">
        <v>60.039617402117798</v>
      </c>
      <c r="CR12">
        <v>81.019011966525596</v>
      </c>
      <c r="CS12">
        <v>90.692760566358103</v>
      </c>
      <c r="CT12">
        <v>100.861399524883</v>
      </c>
      <c r="CU12">
        <v>126.94518984715999</v>
      </c>
      <c r="CV12" s="19"/>
      <c r="CW12" s="14"/>
      <c r="CX12" s="15">
        <v>1.8162245521840001E-3</v>
      </c>
      <c r="DB12">
        <v>12.9990572967109</v>
      </c>
      <c r="DC12">
        <v>16.500169852739401</v>
      </c>
      <c r="DD12">
        <v>23.242803890369601</v>
      </c>
      <c r="DE12">
        <v>26.878199315100499</v>
      </c>
      <c r="DF12">
        <v>30.8662515374299</v>
      </c>
      <c r="DG12">
        <v>40.891572321204002</v>
      </c>
      <c r="DH12" s="14"/>
      <c r="DI12" s="14"/>
      <c r="DJ12">
        <v>3</v>
      </c>
      <c r="DK12">
        <v>24</v>
      </c>
      <c r="DL12">
        <v>0.125</v>
      </c>
      <c r="DO12" t="s">
        <v>296</v>
      </c>
      <c r="DP12">
        <v>1</v>
      </c>
      <c r="DR12">
        <v>1</v>
      </c>
      <c r="DS12">
        <v>1</v>
      </c>
      <c r="DT12" t="s">
        <v>296</v>
      </c>
    </row>
    <row r="13" spans="1:127" x14ac:dyDescent="0.3">
      <c r="A13" s="109" t="s">
        <v>23</v>
      </c>
      <c r="B13" s="4">
        <v>96.1</v>
      </c>
      <c r="C13" s="95">
        <v>132.29539622489901</v>
      </c>
      <c r="D13" s="4">
        <v>7.1204900000000002</v>
      </c>
      <c r="E13" s="16">
        <v>2.5397428065815002E-3</v>
      </c>
      <c r="F13" s="7" t="s">
        <v>284</v>
      </c>
      <c r="G13" s="3" t="s">
        <v>129</v>
      </c>
      <c r="H13" s="23">
        <v>5.9250302314758301</v>
      </c>
      <c r="I13" s="4">
        <v>1.8</v>
      </c>
      <c r="J13" s="148">
        <v>0.2948035043668763</v>
      </c>
      <c r="K13" s="145" t="s">
        <v>30</v>
      </c>
      <c r="L13" s="139" t="s">
        <v>50</v>
      </c>
      <c r="M13" s="137">
        <v>58.756490073014596</v>
      </c>
      <c r="N13" s="95">
        <v>81.0004648556489</v>
      </c>
      <c r="O13" s="95">
        <v>81.0004648556489</v>
      </c>
      <c r="P13" s="95">
        <v>81.0004648556489</v>
      </c>
      <c r="Q13" s="95">
        <v>81.0004648556489</v>
      </c>
      <c r="R13" s="95">
        <v>81.0004648556489</v>
      </c>
      <c r="S13" s="95">
        <v>4.039169028759706</v>
      </c>
      <c r="T13" s="95">
        <v>6.5479159583963886</v>
      </c>
      <c r="U13" s="95">
        <v>9.6659099387543694</v>
      </c>
      <c r="V13" s="95">
        <v>10.27239129306191</v>
      </c>
      <c r="W13" s="95">
        <v>10.355071277608522</v>
      </c>
      <c r="X13" s="96">
        <v>10.547435747946308</v>
      </c>
      <c r="Y13" s="3">
        <v>143.04332870333801</v>
      </c>
      <c r="Z13" s="3">
        <v>264.27219539247</v>
      </c>
      <c r="AA13" s="3">
        <v>488.21525354078898</v>
      </c>
      <c r="AB13" s="95">
        <v>73.247701448761603</v>
      </c>
      <c r="AC13" s="95">
        <v>97.237446637520193</v>
      </c>
      <c r="AD13" s="95">
        <v>126.832623085469</v>
      </c>
      <c r="AE13" s="95">
        <v>140.314737684775</v>
      </c>
      <c r="AF13" s="95">
        <v>155.88093535873699</v>
      </c>
      <c r="AG13" s="96">
        <v>198.703640109215</v>
      </c>
      <c r="AY13" s="163" t="s">
        <v>23</v>
      </c>
      <c r="AZ13" s="92" t="s">
        <v>30</v>
      </c>
      <c r="BA13" s="22" t="b">
        <v>1</v>
      </c>
      <c r="BB13" s="4">
        <v>1.8</v>
      </c>
      <c r="BC13" s="58">
        <v>5.9250302314758301</v>
      </c>
      <c r="BD13" s="28" t="s">
        <v>299</v>
      </c>
      <c r="BE13" s="68" t="s">
        <v>23</v>
      </c>
      <c r="BF13" s="4">
        <v>7.1204900000000002</v>
      </c>
      <c r="BG13" s="16">
        <v>2.5397428065815002E-3</v>
      </c>
      <c r="BH13" s="5" t="s">
        <v>33</v>
      </c>
      <c r="BI13" s="74" t="s">
        <v>30</v>
      </c>
      <c r="BJ13" s="77" t="s">
        <v>86</v>
      </c>
      <c r="BK13" s="77" t="s">
        <v>86</v>
      </c>
      <c r="BL13" s="78" t="s">
        <v>1</v>
      </c>
      <c r="BM13" s="58" t="s">
        <v>96</v>
      </c>
      <c r="BN13" s="22"/>
      <c r="BO13" s="22"/>
      <c r="BP13" s="11"/>
      <c r="BQ13" s="8">
        <v>4.2352726682692596</v>
      </c>
      <c r="BR13" s="9">
        <v>6.7440195979060196</v>
      </c>
      <c r="BS13" s="9">
        <v>9.8620211257021602</v>
      </c>
      <c r="BT13" s="9">
        <v>10.4685977704185</v>
      </c>
      <c r="BU13" s="9">
        <v>10.552984317223601</v>
      </c>
      <c r="BV13" s="10">
        <v>10.7567797726531</v>
      </c>
      <c r="BW13" s="14"/>
      <c r="BX13" s="3">
        <v>7120.49</v>
      </c>
      <c r="BY13" s="5">
        <v>50</v>
      </c>
      <c r="BZ13" s="5" t="s">
        <v>33</v>
      </c>
      <c r="CA13" s="5">
        <v>754633</v>
      </c>
      <c r="CB13" s="5">
        <v>754633</v>
      </c>
      <c r="CC13" s="5">
        <v>2</v>
      </c>
      <c r="CD13" s="5" t="s">
        <v>30</v>
      </c>
      <c r="CE13" s="68" t="s">
        <v>23</v>
      </c>
      <c r="CF13" s="5">
        <v>2</v>
      </c>
      <c r="CG13" s="5" t="s">
        <v>30</v>
      </c>
      <c r="CH13" s="5"/>
      <c r="CI13" s="5" t="s">
        <v>50</v>
      </c>
      <c r="CJ13" s="5">
        <v>0.5</v>
      </c>
      <c r="CK13" s="4">
        <v>105.980487297924</v>
      </c>
      <c r="CL13" s="5">
        <v>105.980487297924</v>
      </c>
      <c r="CM13" s="4">
        <v>105.980487297924</v>
      </c>
      <c r="CO13" t="s">
        <v>23</v>
      </c>
      <c r="CP13">
        <v>73.247701448761603</v>
      </c>
      <c r="CQ13">
        <v>97.237446637520193</v>
      </c>
      <c r="CR13">
        <v>126.832623085469</v>
      </c>
      <c r="CS13">
        <v>140.314737684775</v>
      </c>
      <c r="CT13">
        <v>155.88093535873699</v>
      </c>
      <c r="CU13">
        <v>198.703640109215</v>
      </c>
      <c r="CV13" s="19"/>
      <c r="CW13" s="14"/>
      <c r="CX13" s="15">
        <v>2.5397428065815002E-3</v>
      </c>
      <c r="CY13">
        <v>143.04332870333801</v>
      </c>
      <c r="CZ13">
        <v>264.27219539247</v>
      </c>
      <c r="DA13">
        <v>488.21525354078898</v>
      </c>
      <c r="DB13">
        <v>22.4236779557483</v>
      </c>
      <c r="DC13">
        <v>26.470740740087599</v>
      </c>
      <c r="DD13">
        <v>33.1937467585321</v>
      </c>
      <c r="DE13">
        <v>36.747286049943803</v>
      </c>
      <c r="DF13">
        <v>41.709183696784599</v>
      </c>
      <c r="DG13">
        <v>57.308550501050398</v>
      </c>
      <c r="DH13" s="14"/>
      <c r="DI13" s="14"/>
      <c r="DM13">
        <v>1</v>
      </c>
      <c r="DO13" t="s">
        <v>296</v>
      </c>
      <c r="DP13">
        <v>1</v>
      </c>
      <c r="DR13">
        <v>1</v>
      </c>
      <c r="DS13">
        <v>1</v>
      </c>
      <c r="DT13" t="s">
        <v>296</v>
      </c>
    </row>
    <row r="14" spans="1:127" x14ac:dyDescent="0.3">
      <c r="A14" s="109" t="s">
        <v>4</v>
      </c>
      <c r="B14" s="4">
        <v>81.400000000000006</v>
      </c>
      <c r="C14" s="95">
        <v>318.64130290279002</v>
      </c>
      <c r="D14" s="4">
        <v>2.17415</v>
      </c>
      <c r="E14" s="16">
        <v>3.2202596484366E-3</v>
      </c>
      <c r="F14" s="7" t="s">
        <v>285</v>
      </c>
      <c r="G14" s="3" t="s">
        <v>129</v>
      </c>
      <c r="H14" s="23">
        <v>8.5616436004638707</v>
      </c>
      <c r="I14" s="4">
        <v>1.6</v>
      </c>
      <c r="J14" s="148">
        <v>0.303027963571318</v>
      </c>
      <c r="K14" s="145" t="s">
        <v>31</v>
      </c>
      <c r="L14" s="139" t="s">
        <v>50</v>
      </c>
      <c r="M14" s="137">
        <v>0</v>
      </c>
      <c r="N14" s="95">
        <v>21.1379159671595</v>
      </c>
      <c r="O14" s="95">
        <v>86.514729894441501</v>
      </c>
      <c r="P14" s="95">
        <v>96.445507439688996</v>
      </c>
      <c r="Q14" s="95">
        <v>96.445507439688996</v>
      </c>
      <c r="R14" s="95">
        <v>96.445507439688996</v>
      </c>
      <c r="S14" s="95">
        <v>0.15671432971131891</v>
      </c>
      <c r="T14" s="95">
        <v>0.30624802676903706</v>
      </c>
      <c r="U14" s="95">
        <v>0.94657456185729139</v>
      </c>
      <c r="V14" s="95">
        <v>1.2486967564824414</v>
      </c>
      <c r="W14" s="95">
        <v>1.3330658710641905</v>
      </c>
      <c r="X14" s="96">
        <v>1.3741788730884943</v>
      </c>
      <c r="Y14" s="3">
        <v>374.01872307616799</v>
      </c>
      <c r="Z14" s="3">
        <v>827.62652508672898</v>
      </c>
      <c r="AA14" s="3">
        <v>1778.96559521468</v>
      </c>
      <c r="AB14" s="95">
        <v>90.301348392828999</v>
      </c>
      <c r="AC14" s="95">
        <v>130.42367188456899</v>
      </c>
      <c r="AD14" s="95">
        <v>185.08210991770099</v>
      </c>
      <c r="AE14" s="95">
        <v>209.984393227064</v>
      </c>
      <c r="AF14" s="95">
        <v>229.670860979878</v>
      </c>
      <c r="AG14" s="96">
        <v>297.764074509316</v>
      </c>
      <c r="AY14" s="163" t="s">
        <v>4</v>
      </c>
      <c r="AZ14" s="92" t="s">
        <v>31</v>
      </c>
      <c r="BA14" s="22" t="b">
        <v>1</v>
      </c>
      <c r="BB14" s="4">
        <v>1.6</v>
      </c>
      <c r="BC14" s="58">
        <v>8.5616436004638707</v>
      </c>
      <c r="BD14" s="28" t="s">
        <v>299</v>
      </c>
      <c r="BE14" s="68" t="s">
        <v>4</v>
      </c>
      <c r="BF14" s="4">
        <v>2.17415</v>
      </c>
      <c r="BG14" s="16">
        <v>3.2202596484366E-3</v>
      </c>
      <c r="BH14" s="5" t="s">
        <v>206</v>
      </c>
      <c r="BI14" s="74" t="s">
        <v>31</v>
      </c>
      <c r="BJ14" s="77" t="s">
        <v>86</v>
      </c>
      <c r="BK14" s="77" t="s">
        <v>208</v>
      </c>
      <c r="BL14" s="78" t="s">
        <v>1</v>
      </c>
      <c r="BM14" s="58" t="s">
        <v>89</v>
      </c>
      <c r="BN14" s="22"/>
      <c r="BO14" s="22"/>
      <c r="BP14" s="11"/>
      <c r="BQ14" s="8">
        <v>0.422513753598737</v>
      </c>
      <c r="BR14" s="9">
        <v>0.57204761909513901</v>
      </c>
      <c r="BS14" s="9">
        <v>1.2123741541833699</v>
      </c>
      <c r="BT14" s="9">
        <v>1.5144963488084999</v>
      </c>
      <c r="BU14" s="9">
        <v>1.5988654633902599</v>
      </c>
      <c r="BV14" s="10">
        <v>1.6399784654146401</v>
      </c>
      <c r="BW14" s="14"/>
      <c r="BX14" s="3">
        <v>2174.15</v>
      </c>
      <c r="BY14" s="5">
        <v>1000</v>
      </c>
      <c r="BZ14" s="5" t="s">
        <v>302</v>
      </c>
      <c r="CA14" s="5">
        <v>139983</v>
      </c>
      <c r="CB14" s="5">
        <v>10451</v>
      </c>
      <c r="CC14" s="5">
        <v>5</v>
      </c>
      <c r="CD14" s="5" t="s">
        <v>31</v>
      </c>
      <c r="CE14" s="68" t="s">
        <v>4</v>
      </c>
      <c r="CF14" s="5">
        <v>5</v>
      </c>
      <c r="CG14" s="5" t="s">
        <v>31</v>
      </c>
      <c r="CH14" s="5"/>
      <c r="CI14" s="5" t="s">
        <v>50</v>
      </c>
      <c r="CJ14" s="5">
        <v>0.2</v>
      </c>
      <c r="CK14" s="4">
        <v>64.385162017340093</v>
      </c>
      <c r="CL14" s="5">
        <v>4.8069360439712003</v>
      </c>
      <c r="CM14" s="4">
        <v>4.8069360439712003</v>
      </c>
      <c r="CO14" t="s">
        <v>4</v>
      </c>
      <c r="CP14">
        <v>90.301348392828999</v>
      </c>
      <c r="CQ14">
        <v>130.42367188456899</v>
      </c>
      <c r="CR14">
        <v>185.08210991770099</v>
      </c>
      <c r="CS14">
        <v>209.984393227064</v>
      </c>
      <c r="CT14">
        <v>229.670860979878</v>
      </c>
      <c r="CU14">
        <v>297.764074509316</v>
      </c>
      <c r="CV14" s="19"/>
      <c r="CW14" s="14"/>
      <c r="CX14" s="15">
        <v>3.2202596484366E-3</v>
      </c>
      <c r="CY14">
        <v>374.01872307616799</v>
      </c>
      <c r="CZ14">
        <v>827.62652508672898</v>
      </c>
      <c r="DA14">
        <v>1778.96559521468</v>
      </c>
      <c r="DB14">
        <v>54.4216274502906</v>
      </c>
      <c r="DC14">
        <v>60.902903827779198</v>
      </c>
      <c r="DD14">
        <v>64.231037111011304</v>
      </c>
      <c r="DE14">
        <v>70.058020403446804</v>
      </c>
      <c r="DF14">
        <v>76.341881502986794</v>
      </c>
      <c r="DG14">
        <v>101.90106422612899</v>
      </c>
      <c r="DH14" s="14"/>
      <c r="DI14" s="14"/>
      <c r="DM14">
        <v>1</v>
      </c>
      <c r="DO14" t="s">
        <v>296</v>
      </c>
      <c r="DP14">
        <v>1</v>
      </c>
      <c r="DR14">
        <v>1</v>
      </c>
      <c r="DS14">
        <v>1</v>
      </c>
      <c r="DT14" t="s">
        <v>296</v>
      </c>
    </row>
    <row r="15" spans="1:127" x14ac:dyDescent="0.3">
      <c r="A15" s="109" t="s">
        <v>16</v>
      </c>
      <c r="B15" s="4">
        <v>57.4</v>
      </c>
      <c r="C15" s="95">
        <v>147.03338943962001</v>
      </c>
      <c r="D15" s="4">
        <v>1.8440000000000001</v>
      </c>
      <c r="E15" s="16">
        <v>3.2846115674992999E-3</v>
      </c>
      <c r="F15" s="7" t="s">
        <v>286</v>
      </c>
      <c r="G15" s="3" t="s">
        <v>129</v>
      </c>
      <c r="H15" s="23">
        <v>3.7223167419433598</v>
      </c>
      <c r="I15" s="4">
        <v>1.6</v>
      </c>
      <c r="J15" s="148">
        <v>0.46641342228454397</v>
      </c>
      <c r="K15" s="145" t="s">
        <v>50</v>
      </c>
      <c r="L15" s="139" t="s">
        <v>34</v>
      </c>
      <c r="M15" s="137">
        <v>0</v>
      </c>
      <c r="N15" s="95">
        <v>0</v>
      </c>
      <c r="O15" s="95">
        <v>0</v>
      </c>
      <c r="P15" s="95">
        <v>0</v>
      </c>
      <c r="Q15" s="95">
        <v>0</v>
      </c>
      <c r="R15" s="95">
        <v>0</v>
      </c>
      <c r="S15" s="95">
        <v>0.79938263578270063</v>
      </c>
      <c r="T15" s="95">
        <v>3.0534301714845387</v>
      </c>
      <c r="U15" s="95">
        <v>9.8379747039159433</v>
      </c>
      <c r="V15" s="95">
        <v>14.672460654610358</v>
      </c>
      <c r="W15" s="95">
        <v>18.688685514843112</v>
      </c>
      <c r="X15" s="96">
        <v>22.165613444251736</v>
      </c>
      <c r="Y15" s="3">
        <v>238.08659941981401</v>
      </c>
      <c r="Z15" s="3">
        <v>379.35102878012202</v>
      </c>
      <c r="AA15" s="3">
        <v>604.42613567579997</v>
      </c>
      <c r="AB15" s="95">
        <v>58.836539822529403</v>
      </c>
      <c r="AC15" s="95">
        <v>82.741706402216593</v>
      </c>
      <c r="AD15" s="95">
        <v>125.466688043638</v>
      </c>
      <c r="AE15" s="95">
        <v>146.950474865388</v>
      </c>
      <c r="AF15" s="95">
        <v>157.70328887276901</v>
      </c>
      <c r="AG15" s="96">
        <v>201.947596553122</v>
      </c>
      <c r="AY15" s="163" t="s">
        <v>16</v>
      </c>
      <c r="AZ15" s="92" t="s">
        <v>34</v>
      </c>
      <c r="BA15" s="22" t="b">
        <v>1</v>
      </c>
      <c r="BB15" s="4">
        <v>1.6</v>
      </c>
      <c r="BC15" s="23">
        <v>3.7223167419433598</v>
      </c>
      <c r="BD15" s="28" t="s">
        <v>299</v>
      </c>
      <c r="BE15" s="68" t="s">
        <v>16</v>
      </c>
      <c r="BF15" s="4">
        <v>1.8440000000000001</v>
      </c>
      <c r="BG15" s="16">
        <v>3.2846115674992999E-3</v>
      </c>
      <c r="BH15" s="5" t="s">
        <v>206</v>
      </c>
      <c r="BI15" t="s">
        <v>236</v>
      </c>
      <c r="BJ15" s="18" t="s">
        <v>208</v>
      </c>
      <c r="BK15" s="18" t="s">
        <v>86</v>
      </c>
      <c r="BL15" s="5" t="s">
        <v>3</v>
      </c>
      <c r="BM15" s="23" t="s">
        <v>89</v>
      </c>
      <c r="BN15" s="22"/>
      <c r="BO15" s="22"/>
      <c r="BP15" s="11"/>
      <c r="BQ15" s="8">
        <v>1.0742977310808599</v>
      </c>
      <c r="BR15" s="9">
        <v>3.32842691454398</v>
      </c>
      <c r="BS15" s="9">
        <v>10.1129794818366</v>
      </c>
      <c r="BT15" s="9">
        <v>14.947465432531001</v>
      </c>
      <c r="BU15" s="9">
        <v>18.963690292763701</v>
      </c>
      <c r="BV15" s="10">
        <v>22.4406182221724</v>
      </c>
      <c r="BW15" s="14"/>
      <c r="BX15" s="3">
        <v>1844</v>
      </c>
      <c r="BY15" s="5">
        <v>1000</v>
      </c>
      <c r="BZ15" s="5" t="s">
        <v>302</v>
      </c>
      <c r="CA15" s="5">
        <v>21681</v>
      </c>
      <c r="CB15" s="5">
        <v>21681</v>
      </c>
      <c r="CC15" s="5">
        <v>100</v>
      </c>
      <c r="CD15" s="5" t="s">
        <v>34</v>
      </c>
      <c r="CE15" s="68" t="s">
        <v>16</v>
      </c>
      <c r="CF15" s="5"/>
      <c r="CG15" s="5" t="s">
        <v>50</v>
      </c>
      <c r="CH15" s="5">
        <v>100</v>
      </c>
      <c r="CI15" s="5" t="s">
        <v>34</v>
      </c>
      <c r="CJ15" s="5">
        <v>0.01</v>
      </c>
      <c r="CK15" s="4">
        <v>11.7575921908893</v>
      </c>
      <c r="CL15" s="5">
        <v>11.7575921908893</v>
      </c>
      <c r="CM15" s="4">
        <v>11.7575921908893</v>
      </c>
      <c r="CO15" t="s">
        <v>16</v>
      </c>
      <c r="CP15">
        <v>58.836539822529403</v>
      </c>
      <c r="CQ15">
        <v>82.741706402216593</v>
      </c>
      <c r="CR15">
        <v>125.466688043638</v>
      </c>
      <c r="CS15">
        <v>146.950474865388</v>
      </c>
      <c r="CT15">
        <v>157.70328887276901</v>
      </c>
      <c r="CU15">
        <v>201.947596553122</v>
      </c>
      <c r="CV15" s="19"/>
      <c r="CW15" s="14"/>
      <c r="CX15" s="15">
        <v>3.2846115674992999E-3</v>
      </c>
      <c r="CY15">
        <v>238.08659941981401</v>
      </c>
      <c r="CZ15">
        <v>379.35102878012202</v>
      </c>
      <c r="DA15">
        <v>604.42613567579997</v>
      </c>
      <c r="DB15">
        <v>37.982949964783103</v>
      </c>
      <c r="DC15">
        <v>43.844639593118202</v>
      </c>
      <c r="DD15">
        <v>56.310780315720599</v>
      </c>
      <c r="DE15">
        <v>62.863239138432299</v>
      </c>
      <c r="DF15">
        <v>54.799117842503797</v>
      </c>
      <c r="DG15">
        <v>68.036677483834495</v>
      </c>
      <c r="DH15" s="14"/>
      <c r="DI15" s="14"/>
      <c r="DM15">
        <v>1</v>
      </c>
      <c r="DO15" t="s">
        <v>296</v>
      </c>
      <c r="DP15">
        <v>1</v>
      </c>
      <c r="DR15">
        <v>1</v>
      </c>
      <c r="DS15">
        <v>1</v>
      </c>
      <c r="DT15" t="s">
        <v>296</v>
      </c>
    </row>
    <row r="16" spans="1:127" x14ac:dyDescent="0.3">
      <c r="A16" s="109" t="s">
        <v>17</v>
      </c>
      <c r="B16" s="4">
        <v>55.3</v>
      </c>
      <c r="C16" s="95">
        <v>373.62690705444999</v>
      </c>
      <c r="D16" s="4">
        <v>0.71269399999999994</v>
      </c>
      <c r="E16" s="16">
        <v>3.8802226158114001E-3</v>
      </c>
      <c r="F16" s="7" t="s">
        <v>287</v>
      </c>
      <c r="G16" s="3" t="s">
        <v>129</v>
      </c>
      <c r="H16" s="23">
        <v>1.126953125</v>
      </c>
      <c r="I16" s="4">
        <v>1</v>
      </c>
      <c r="J16" s="148">
        <v>0.14289838815143513</v>
      </c>
      <c r="K16" s="145" t="s">
        <v>35</v>
      </c>
      <c r="L16" s="139" t="s">
        <v>50</v>
      </c>
      <c r="M16" s="137">
        <v>0</v>
      </c>
      <c r="N16" s="95">
        <v>0</v>
      </c>
      <c r="O16" s="95">
        <v>0</v>
      </c>
      <c r="P16" s="95">
        <v>0</v>
      </c>
      <c r="Q16" s="95">
        <v>0</v>
      </c>
      <c r="R16" s="95">
        <v>30.5460688598472</v>
      </c>
      <c r="S16" s="95">
        <v>0.10281339587038098</v>
      </c>
      <c r="T16" s="95">
        <v>0.11252836134984595</v>
      </c>
      <c r="U16" s="95">
        <v>0.20252953013464828</v>
      </c>
      <c r="V16" s="95">
        <v>0.2639032157493707</v>
      </c>
      <c r="W16" s="95">
        <v>0.2923535923173845</v>
      </c>
      <c r="X16" s="96">
        <v>0.58913331778379785</v>
      </c>
      <c r="Y16" s="3">
        <v>360.32125948299301</v>
      </c>
      <c r="Z16" s="3">
        <v>877.62576918693105</v>
      </c>
      <c r="AA16" s="3">
        <v>1895.48085674974</v>
      </c>
      <c r="AB16" s="95">
        <v>106.016581491235</v>
      </c>
      <c r="AC16" s="95">
        <v>151.04189395624601</v>
      </c>
      <c r="AD16" s="95">
        <v>243.175452030646</v>
      </c>
      <c r="AE16" s="95">
        <v>290.08587636315201</v>
      </c>
      <c r="AF16" s="95">
        <v>326.72061271784798</v>
      </c>
      <c r="AG16" s="96">
        <v>447.98308296017802</v>
      </c>
      <c r="AY16" s="163" t="s">
        <v>17</v>
      </c>
      <c r="AZ16" s="92" t="s">
        <v>35</v>
      </c>
      <c r="BA16" s="22" t="b">
        <v>1</v>
      </c>
      <c r="BB16" s="4">
        <v>1</v>
      </c>
      <c r="BC16" s="23">
        <v>1.126953125</v>
      </c>
      <c r="BD16" s="59" t="s">
        <v>301</v>
      </c>
      <c r="BE16" s="68" t="s">
        <v>17</v>
      </c>
      <c r="BF16" s="4">
        <v>0.71269399999999994</v>
      </c>
      <c r="BG16" s="16">
        <v>3.8802226158114001E-3</v>
      </c>
      <c r="BH16" s="5" t="s">
        <v>35</v>
      </c>
      <c r="BI16" t="s">
        <v>35</v>
      </c>
      <c r="BJ16" s="18" t="s">
        <v>208</v>
      </c>
      <c r="BK16" s="18" t="s">
        <v>208</v>
      </c>
      <c r="BL16" s="5" t="s">
        <v>5</v>
      </c>
      <c r="BM16" s="59" t="s">
        <v>80</v>
      </c>
      <c r="BN16" s="22"/>
      <c r="BO16" s="22"/>
      <c r="BP16" s="11"/>
      <c r="BQ16" s="8">
        <v>0.23855802791898001</v>
      </c>
      <c r="BR16" s="9">
        <v>0.248272993398435</v>
      </c>
      <c r="BS16" s="9">
        <v>0.33827416218322498</v>
      </c>
      <c r="BT16" s="9">
        <v>0.39964784779798301</v>
      </c>
      <c r="BU16" s="9">
        <v>0.42809822436585099</v>
      </c>
      <c r="BV16" s="10">
        <v>0.72487794983246601</v>
      </c>
      <c r="BW16" s="14"/>
      <c r="BX16" s="3">
        <v>712.69399999999996</v>
      </c>
      <c r="BY16" s="5">
        <v>500</v>
      </c>
      <c r="BZ16" s="5" t="s">
        <v>35</v>
      </c>
      <c r="CA16" s="5">
        <v>25963</v>
      </c>
      <c r="CB16" s="5">
        <v>25963</v>
      </c>
      <c r="CC16" s="5">
        <v>500</v>
      </c>
      <c r="CD16" s="5" t="s">
        <v>35</v>
      </c>
      <c r="CE16" s="68" t="s">
        <v>17</v>
      </c>
      <c r="CF16" s="5">
        <v>500</v>
      </c>
      <c r="CG16" s="5" t="s">
        <v>35</v>
      </c>
      <c r="CH16" s="5"/>
      <c r="CI16" s="5" t="s">
        <v>50</v>
      </c>
      <c r="CJ16" s="5">
        <v>2E-3</v>
      </c>
      <c r="CK16" s="4">
        <v>36.429379228673099</v>
      </c>
      <c r="CL16" s="5">
        <v>36.429379228673099</v>
      </c>
      <c r="CM16" s="4">
        <v>36.429379228673099</v>
      </c>
      <c r="CO16" t="s">
        <v>17</v>
      </c>
      <c r="CP16">
        <v>106.016581491235</v>
      </c>
      <c r="CQ16">
        <v>151.04189395624601</v>
      </c>
      <c r="CR16">
        <v>243.175452030646</v>
      </c>
      <c r="CS16">
        <v>290.08587636315201</v>
      </c>
      <c r="CT16">
        <v>326.72061271784798</v>
      </c>
      <c r="CU16">
        <v>447.98308296017802</v>
      </c>
      <c r="CV16" s="19"/>
      <c r="CW16" s="14"/>
      <c r="CX16" s="15">
        <v>3.8802226158114001E-3</v>
      </c>
      <c r="CY16">
        <v>360.32125948299301</v>
      </c>
      <c r="CZ16">
        <v>877.62576918693105</v>
      </c>
      <c r="DA16">
        <v>1895.48085674974</v>
      </c>
      <c r="DB16">
        <v>72.803075661931302</v>
      </c>
      <c r="DC16">
        <v>96.850807684733695</v>
      </c>
      <c r="DD16">
        <v>140.22217350001301</v>
      </c>
      <c r="DE16">
        <v>162.75986935268901</v>
      </c>
      <c r="DF16">
        <v>179.472347171336</v>
      </c>
      <c r="DG16">
        <v>188.92808294133999</v>
      </c>
      <c r="DH16" s="14"/>
      <c r="DI16" s="14"/>
      <c r="DO16" t="s">
        <v>296</v>
      </c>
      <c r="DR16">
        <v>0</v>
      </c>
      <c r="DS16" t="s">
        <v>296</v>
      </c>
      <c r="DT16" t="s">
        <v>297</v>
      </c>
    </row>
    <row r="17" spans="1:124" x14ac:dyDescent="0.3">
      <c r="A17" s="109" t="s">
        <v>18</v>
      </c>
      <c r="B17" s="4">
        <v>54.5</v>
      </c>
      <c r="C17" s="95">
        <v>237.986650882151</v>
      </c>
      <c r="D17" s="4">
        <v>2.6302300000000001</v>
      </c>
      <c r="E17" s="16">
        <v>5.1159406074247999E-3</v>
      </c>
      <c r="F17" s="7" t="s">
        <v>288</v>
      </c>
      <c r="G17" s="3" t="s">
        <v>129</v>
      </c>
      <c r="H17" s="23">
        <v>5.3740777969360396</v>
      </c>
      <c r="I17" s="4">
        <v>1.4</v>
      </c>
      <c r="J17" s="148">
        <v>0.54519432210123842</v>
      </c>
      <c r="K17" s="145" t="s">
        <v>50</v>
      </c>
      <c r="L17" s="139" t="s">
        <v>32</v>
      </c>
      <c r="M17" s="137">
        <v>0</v>
      </c>
      <c r="N17" s="95">
        <v>0</v>
      </c>
      <c r="O17" s="95">
        <v>0</v>
      </c>
      <c r="P17" s="95">
        <v>0</v>
      </c>
      <c r="Q17" s="95">
        <v>0</v>
      </c>
      <c r="R17" s="95">
        <v>0</v>
      </c>
      <c r="S17" s="95">
        <v>0.32401585477921208</v>
      </c>
      <c r="T17" s="95">
        <v>4.2428915267088811</v>
      </c>
      <c r="U17" s="95">
        <v>9.2522812832042831</v>
      </c>
      <c r="V17" s="95">
        <v>9.4119052936629117</v>
      </c>
      <c r="W17" s="95">
        <v>9.4970767482474159</v>
      </c>
      <c r="X17" s="96">
        <v>9.6733621782982482</v>
      </c>
      <c r="Y17" s="3">
        <v>420.09324898966798</v>
      </c>
      <c r="Z17" s="3">
        <v>741.36331287751</v>
      </c>
      <c r="AA17" s="3">
        <v>1478.4633083460201</v>
      </c>
      <c r="AB17" s="95">
        <v>122.358003507837</v>
      </c>
      <c r="AC17" s="95">
        <v>181.29759240578599</v>
      </c>
      <c r="AD17" s="95">
        <v>248.24423766650801</v>
      </c>
      <c r="AE17" s="95">
        <v>274.155806193378</v>
      </c>
      <c r="AF17" s="95">
        <v>316.33571836035998</v>
      </c>
      <c r="AG17" s="96">
        <v>381.563865284104</v>
      </c>
      <c r="AY17" s="163" t="s">
        <v>18</v>
      </c>
      <c r="AZ17" s="92" t="s">
        <v>32</v>
      </c>
      <c r="BA17" s="22" t="b">
        <v>1</v>
      </c>
      <c r="BB17" s="4">
        <v>1.4</v>
      </c>
      <c r="BC17" s="23">
        <v>5.3740777969360396</v>
      </c>
      <c r="BD17" s="28" t="s">
        <v>299</v>
      </c>
      <c r="BE17" s="68" t="s">
        <v>18</v>
      </c>
      <c r="BF17" s="4">
        <v>2.6302300000000001</v>
      </c>
      <c r="BG17" s="16">
        <v>5.1159406074247999E-3</v>
      </c>
      <c r="BH17" s="5" t="s">
        <v>206</v>
      </c>
      <c r="BI17" t="s">
        <v>32</v>
      </c>
      <c r="BJ17" s="18" t="s">
        <v>208</v>
      </c>
      <c r="BK17" s="18" t="s">
        <v>86</v>
      </c>
      <c r="BL17" s="5" t="s">
        <v>1</v>
      </c>
      <c r="BM17" s="23" t="s">
        <v>89</v>
      </c>
      <c r="BN17" s="22"/>
      <c r="BO17" s="22"/>
      <c r="BP17" s="11"/>
      <c r="BQ17" s="8">
        <v>0.68589575783303702</v>
      </c>
      <c r="BR17" s="9">
        <v>4.6047714297627103</v>
      </c>
      <c r="BS17" s="9">
        <v>9.6141611862579595</v>
      </c>
      <c r="BT17" s="9">
        <v>9.7737851967167497</v>
      </c>
      <c r="BU17" s="9">
        <v>9.8589566513012006</v>
      </c>
      <c r="BV17" s="10">
        <v>10.035242081351999</v>
      </c>
      <c r="BW17" s="14"/>
      <c r="BX17" s="3">
        <v>2630.23</v>
      </c>
      <c r="BY17" s="5">
        <v>1000</v>
      </c>
      <c r="BZ17" s="5" t="s">
        <v>302</v>
      </c>
      <c r="CA17" s="5">
        <v>8045</v>
      </c>
      <c r="CB17" s="5">
        <v>8045</v>
      </c>
      <c r="CC17" s="5">
        <v>25</v>
      </c>
      <c r="CD17" s="5" t="s">
        <v>32</v>
      </c>
      <c r="CE17" s="68" t="s">
        <v>18</v>
      </c>
      <c r="CF17" s="5"/>
      <c r="CG17" s="5" t="s">
        <v>50</v>
      </c>
      <c r="CH17" s="5">
        <v>25</v>
      </c>
      <c r="CI17" s="5" t="s">
        <v>32</v>
      </c>
      <c r="CJ17" s="5">
        <v>0.04</v>
      </c>
      <c r="CK17" s="4">
        <v>3.0586678731517698</v>
      </c>
      <c r="CL17" s="5">
        <v>3.0586678731517698</v>
      </c>
      <c r="CM17" s="4">
        <v>3.0586678731517698</v>
      </c>
      <c r="CO17" t="s">
        <v>18</v>
      </c>
      <c r="CP17">
        <v>122.358003507837</v>
      </c>
      <c r="CQ17">
        <v>181.29759240578599</v>
      </c>
      <c r="CR17">
        <v>248.24423766650801</v>
      </c>
      <c r="CS17">
        <v>274.155806193378</v>
      </c>
      <c r="CT17">
        <v>316.33571836035998</v>
      </c>
      <c r="CU17">
        <v>381.563865284104</v>
      </c>
      <c r="CV17" s="19"/>
      <c r="CW17" s="14"/>
      <c r="CX17" s="15">
        <v>5.1159406074247999E-3</v>
      </c>
      <c r="CY17">
        <v>420.09324898966798</v>
      </c>
      <c r="CZ17">
        <v>741.36331287751</v>
      </c>
      <c r="DA17">
        <v>1478.4633083460201</v>
      </c>
      <c r="DB17">
        <v>83.414529796433897</v>
      </c>
      <c r="DC17">
        <v>96.2086429888341</v>
      </c>
      <c r="DD17">
        <v>88.125409238836497</v>
      </c>
      <c r="DE17">
        <v>92.445148248270797</v>
      </c>
      <c r="DF17">
        <v>100.505626244686</v>
      </c>
      <c r="DG17">
        <v>116.651264913296</v>
      </c>
      <c r="DH17" s="14"/>
      <c r="DI17" s="14"/>
      <c r="DM17">
        <v>1</v>
      </c>
      <c r="DO17" t="s">
        <v>296</v>
      </c>
      <c r="DP17">
        <v>1</v>
      </c>
      <c r="DR17">
        <v>1</v>
      </c>
      <c r="DS17">
        <v>1</v>
      </c>
      <c r="DT17" t="s">
        <v>296</v>
      </c>
    </row>
    <row r="18" spans="1:124" x14ac:dyDescent="0.3">
      <c r="A18" s="109" t="s">
        <v>9</v>
      </c>
      <c r="B18" s="4">
        <v>45.6</v>
      </c>
      <c r="C18" s="95">
        <v>277.75076189277098</v>
      </c>
      <c r="D18" s="4">
        <v>2.46333</v>
      </c>
      <c r="E18" s="16">
        <v>5.4570025417987004E-3</v>
      </c>
      <c r="F18" s="7" t="s">
        <v>289</v>
      </c>
      <c r="G18" s="3" t="s">
        <v>129</v>
      </c>
      <c r="H18" s="23">
        <v>1.24435579776764</v>
      </c>
      <c r="I18" s="4">
        <v>2.1</v>
      </c>
      <c r="J18" s="149">
        <v>0.90473506213639077</v>
      </c>
      <c r="K18" s="145" t="s">
        <v>32</v>
      </c>
      <c r="L18" s="139" t="s">
        <v>50</v>
      </c>
      <c r="M18" s="137">
        <v>0</v>
      </c>
      <c r="N18" s="95">
        <v>0</v>
      </c>
      <c r="O18" s="95">
        <v>18.164435946462699</v>
      </c>
      <c r="P18" s="95">
        <v>29.786102552236201</v>
      </c>
      <c r="Q18" s="95">
        <v>29.786102552236201</v>
      </c>
      <c r="R18" s="95">
        <v>29.786102552236201</v>
      </c>
      <c r="S18" s="95">
        <v>6.1182573041770695E-2</v>
      </c>
      <c r="T18" s="95">
        <v>8.6023137948958536E-2</v>
      </c>
      <c r="U18" s="95">
        <v>0.3118656359981245</v>
      </c>
      <c r="V18" s="95">
        <v>0.53453025894293904</v>
      </c>
      <c r="W18" s="95">
        <v>0.88571272836939419</v>
      </c>
      <c r="X18" s="96">
        <v>2.2093094716115784</v>
      </c>
      <c r="Y18" s="3">
        <v>417.93043933819598</v>
      </c>
      <c r="Z18" s="3">
        <v>842.07954741109904</v>
      </c>
      <c r="AA18" s="3">
        <v>1706.69814944722</v>
      </c>
      <c r="AB18" s="95">
        <v>111.77243460577201</v>
      </c>
      <c r="AC18" s="95">
        <v>173.25797331627999</v>
      </c>
      <c r="AD18" s="95">
        <v>276.11438837474401</v>
      </c>
      <c r="AE18" s="95">
        <v>314.019141696227</v>
      </c>
      <c r="AF18" s="95">
        <v>359.35511785909</v>
      </c>
      <c r="AG18" s="96">
        <v>464.27733391985601</v>
      </c>
      <c r="AH18" s="86"/>
      <c r="AI18" s="86"/>
      <c r="AJ18" s="86"/>
      <c r="AN18" s="86"/>
      <c r="AO18" s="86"/>
      <c r="AP18" s="86"/>
      <c r="AQ18" s="86"/>
      <c r="AR18" s="86"/>
      <c r="AS18" s="86"/>
      <c r="AT18" s="86"/>
      <c r="AU18" s="86"/>
      <c r="AV18" s="86"/>
      <c r="AW18" s="86"/>
      <c r="AX18" s="86"/>
      <c r="AY18" s="163" t="s">
        <v>9</v>
      </c>
      <c r="AZ18" s="92" t="s">
        <v>32</v>
      </c>
      <c r="BA18" s="22" t="b">
        <v>1</v>
      </c>
      <c r="BB18" s="79">
        <v>2.1</v>
      </c>
      <c r="BC18" s="23">
        <v>1.24435579776764</v>
      </c>
      <c r="BD18" s="59" t="s">
        <v>301</v>
      </c>
      <c r="BE18" s="68" t="s">
        <v>9</v>
      </c>
      <c r="BF18" s="4">
        <v>2.46333</v>
      </c>
      <c r="BG18" s="16">
        <v>5.4570025417987004E-3</v>
      </c>
      <c r="BH18" s="5" t="s">
        <v>35</v>
      </c>
      <c r="BI18" s="74" t="s">
        <v>32</v>
      </c>
      <c r="BJ18" s="77" t="s">
        <v>86</v>
      </c>
      <c r="BK18" s="77" t="s">
        <v>208</v>
      </c>
      <c r="BL18" s="78" t="s">
        <v>1</v>
      </c>
      <c r="BM18" s="58" t="s">
        <v>89</v>
      </c>
      <c r="BN18" s="22"/>
      <c r="BO18" s="22"/>
      <c r="BP18" s="11"/>
      <c r="BQ18" s="8">
        <v>0.72200388634097101</v>
      </c>
      <c r="BR18" s="9">
        <v>0.77522845027563703</v>
      </c>
      <c r="BS18" s="9">
        <v>1.0771571403674201</v>
      </c>
      <c r="BT18" s="9">
        <v>1.31444810149866</v>
      </c>
      <c r="BU18" s="9">
        <v>1.6737899819339099</v>
      </c>
      <c r="BV18" s="10">
        <v>3.1011823418428301</v>
      </c>
      <c r="BW18" s="14"/>
      <c r="BX18" s="3">
        <v>2463.33</v>
      </c>
      <c r="BY18" s="5">
        <v>500</v>
      </c>
      <c r="BZ18" s="5" t="s">
        <v>35</v>
      </c>
      <c r="CA18" s="5">
        <v>114175</v>
      </c>
      <c r="CB18" s="5">
        <v>114175</v>
      </c>
      <c r="CC18" s="5">
        <v>25</v>
      </c>
      <c r="CD18" s="5" t="s">
        <v>32</v>
      </c>
      <c r="CE18" s="68" t="s">
        <v>9</v>
      </c>
      <c r="CF18" s="5">
        <v>25</v>
      </c>
      <c r="CG18" s="5" t="s">
        <v>32</v>
      </c>
      <c r="CH18" s="5"/>
      <c r="CI18" s="5" t="s">
        <v>50</v>
      </c>
      <c r="CJ18" s="5">
        <v>0.04</v>
      </c>
      <c r="CK18" s="4">
        <v>46.349859742706002</v>
      </c>
      <c r="CL18" s="5">
        <v>46.349859742706002</v>
      </c>
      <c r="CM18" s="4">
        <v>46.349859742706002</v>
      </c>
      <c r="CO18" t="s">
        <v>9</v>
      </c>
      <c r="CP18">
        <v>111.77243460577201</v>
      </c>
      <c r="CQ18">
        <v>173.25797331627999</v>
      </c>
      <c r="CR18">
        <v>276.11438837474401</v>
      </c>
      <c r="CS18">
        <v>314.019141696227</v>
      </c>
      <c r="CT18">
        <v>359.35511785909</v>
      </c>
      <c r="CU18">
        <v>464.27733391985601</v>
      </c>
      <c r="CV18" s="19"/>
      <c r="CW18" s="14"/>
      <c r="CX18" s="15">
        <v>5.4570025417987004E-3</v>
      </c>
      <c r="CY18">
        <v>417.93043933819598</v>
      </c>
      <c r="CZ18">
        <v>842.07954741109904</v>
      </c>
      <c r="DA18">
        <v>1706.69814944722</v>
      </c>
      <c r="DB18">
        <v>85.373729471910593</v>
      </c>
      <c r="DC18">
        <v>116.835674741337</v>
      </c>
      <c r="DD18">
        <v>129.122806843653</v>
      </c>
      <c r="DE18">
        <v>134.23663249603101</v>
      </c>
      <c r="DF18">
        <v>145.77388826949601</v>
      </c>
      <c r="DG18">
        <v>178.13580074195499</v>
      </c>
      <c r="DH18" s="14"/>
      <c r="DI18" s="14"/>
      <c r="DK18" s="86"/>
      <c r="DO18" t="s">
        <v>296</v>
      </c>
      <c r="DP18">
        <v>1</v>
      </c>
      <c r="DR18">
        <v>1</v>
      </c>
      <c r="DS18">
        <v>1</v>
      </c>
      <c r="DT18" t="s">
        <v>297</v>
      </c>
    </row>
    <row r="19" spans="1:124" x14ac:dyDescent="0.3">
      <c r="A19" s="109" t="s">
        <v>10</v>
      </c>
      <c r="B19" s="4">
        <v>37.200000000000003</v>
      </c>
      <c r="C19" s="95">
        <v>212.68455045564301</v>
      </c>
      <c r="D19" s="4">
        <v>0.40871300000000005</v>
      </c>
      <c r="E19" s="16">
        <v>6.3506202510991002E-3</v>
      </c>
      <c r="F19" s="7" t="s">
        <v>303</v>
      </c>
      <c r="G19" s="3" t="s">
        <v>122</v>
      </c>
      <c r="H19" s="99" t="s">
        <v>50</v>
      </c>
      <c r="I19" s="97" t="s">
        <v>50</v>
      </c>
      <c r="J19" s="149">
        <v>0.91385634279377559</v>
      </c>
      <c r="K19" s="145" t="s">
        <v>50</v>
      </c>
      <c r="L19" s="139" t="s">
        <v>50</v>
      </c>
      <c r="M19" s="137">
        <v>0</v>
      </c>
      <c r="N19" s="95">
        <v>0</v>
      </c>
      <c r="O19" s="95">
        <v>0</v>
      </c>
      <c r="P19" s="95">
        <v>0</v>
      </c>
      <c r="Q19" s="95">
        <v>0</v>
      </c>
      <c r="R19" s="95">
        <v>0</v>
      </c>
      <c r="S19" s="95">
        <v>7.6103901291599968E-2</v>
      </c>
      <c r="T19" s="95">
        <v>8.0474688402447675E-2</v>
      </c>
      <c r="U19" s="95">
        <v>8.4629420965934496E-2</v>
      </c>
      <c r="V19" s="95">
        <v>8.659883724786023E-2</v>
      </c>
      <c r="W19" s="95">
        <v>8.7424965613286332E-2</v>
      </c>
      <c r="X19" s="96">
        <v>8.9650492588549166E-2</v>
      </c>
      <c r="Y19" s="3">
        <v>280.509283790815</v>
      </c>
      <c r="Z19" s="3">
        <v>538.702189490931</v>
      </c>
      <c r="AA19" s="3">
        <v>1078.41366808506</v>
      </c>
      <c r="AB19" s="95">
        <v>156.020772497541</v>
      </c>
      <c r="AC19" s="95">
        <v>223.45548405619201</v>
      </c>
      <c r="AD19" s="95">
        <v>360.39417428180798</v>
      </c>
      <c r="AE19" s="95">
        <v>426.26432218159198</v>
      </c>
      <c r="AF19" s="95">
        <v>495.83336310228901</v>
      </c>
      <c r="AG19" s="96">
        <v>696.07126111078196</v>
      </c>
      <c r="AY19" s="163" t="s">
        <v>10</v>
      </c>
      <c r="AZ19" s="92" t="s">
        <v>50</v>
      </c>
      <c r="BA19" s="22" t="b">
        <v>0</v>
      </c>
      <c r="BB19" s="79"/>
      <c r="BC19" s="23"/>
      <c r="BD19" s="59"/>
      <c r="BE19" s="68"/>
      <c r="BF19" s="4"/>
      <c r="BG19" s="16"/>
      <c r="BH19" s="5"/>
      <c r="BI19" s="74"/>
      <c r="BJ19" s="77"/>
      <c r="BK19" s="77"/>
      <c r="BL19" s="78"/>
      <c r="BM19" s="58"/>
      <c r="BN19" s="22"/>
      <c r="BO19" s="22"/>
      <c r="BP19" s="11"/>
      <c r="BQ19" s="8">
        <v>0.30249783244929601</v>
      </c>
      <c r="BR19" s="9">
        <v>0.232694228437169</v>
      </c>
      <c r="BS19" s="9">
        <v>0.13964210305972399</v>
      </c>
      <c r="BT19" s="9">
        <v>9.5583713191647393E-2</v>
      </c>
      <c r="BU19" s="9">
        <v>4.3038807272779998E-2</v>
      </c>
      <c r="BV19" s="10">
        <v>-0.139574902476406</v>
      </c>
      <c r="BW19" s="14"/>
      <c r="BX19" s="3">
        <v>408.71300000000002</v>
      </c>
      <c r="BY19" s="5">
        <v>25</v>
      </c>
      <c r="BZ19" s="5" t="s">
        <v>32</v>
      </c>
      <c r="CA19" s="5">
        <v>0</v>
      </c>
      <c r="CB19" s="5"/>
      <c r="CC19" s="5"/>
      <c r="CD19" s="5"/>
      <c r="CE19" s="68" t="s">
        <v>10</v>
      </c>
      <c r="CF19" s="5"/>
      <c r="CG19" s="5" t="s">
        <v>50</v>
      </c>
      <c r="CH19" s="5"/>
      <c r="CI19" s="5" t="s">
        <v>50</v>
      </c>
      <c r="CJ19" s="5"/>
      <c r="CK19" s="4">
        <v>0</v>
      </c>
      <c r="CL19" s="5"/>
      <c r="CM19" s="4" t="s">
        <v>44</v>
      </c>
      <c r="CO19" t="s">
        <v>10</v>
      </c>
      <c r="CP19">
        <v>156.020772497541</v>
      </c>
      <c r="CQ19">
        <v>223.45548405619201</v>
      </c>
      <c r="CR19">
        <v>360.39417428180798</v>
      </c>
      <c r="CS19">
        <v>426.26432218159198</v>
      </c>
      <c r="CT19">
        <v>495.83336310228901</v>
      </c>
      <c r="CU19">
        <v>696.07126111078196</v>
      </c>
      <c r="CV19" s="19"/>
      <c r="CW19" s="14"/>
      <c r="CX19" s="15">
        <v>6.3506202510991002E-3</v>
      </c>
      <c r="CY19">
        <v>280.509283790815</v>
      </c>
      <c r="CZ19">
        <v>538.702189490931</v>
      </c>
      <c r="DA19">
        <v>1078.41366808506</v>
      </c>
      <c r="DB19">
        <v>107.366581914099</v>
      </c>
      <c r="DC19">
        <v>147.60973097720199</v>
      </c>
      <c r="DD19">
        <v>223.579887276855</v>
      </c>
      <c r="DE19">
        <v>258.98006471584699</v>
      </c>
      <c r="DF19">
        <v>295.36161736842303</v>
      </c>
      <c r="DG19">
        <v>392.91491349381198</v>
      </c>
      <c r="DH19" s="14"/>
      <c r="DI19" s="14"/>
      <c r="DO19" t="s">
        <v>296</v>
      </c>
      <c r="DR19">
        <v>0</v>
      </c>
      <c r="DS19" t="s">
        <v>296</v>
      </c>
      <c r="DT19" t="s">
        <v>296</v>
      </c>
    </row>
    <row r="20" spans="1:124" x14ac:dyDescent="0.3">
      <c r="A20" s="109" t="s">
        <v>11</v>
      </c>
      <c r="B20" s="4">
        <v>34.5</v>
      </c>
      <c r="C20" s="95">
        <v>169.98112777681601</v>
      </c>
      <c r="D20" s="4">
        <v>0.74945399999999995</v>
      </c>
      <c r="E20" s="16">
        <v>1.67200172246228E-2</v>
      </c>
      <c r="F20" s="7" t="s">
        <v>303</v>
      </c>
      <c r="G20" s="3" t="s">
        <v>122</v>
      </c>
      <c r="H20" s="99" t="s">
        <v>50</v>
      </c>
      <c r="I20" s="97" t="s">
        <v>50</v>
      </c>
      <c r="J20" s="149">
        <v>0.51355140063963578</v>
      </c>
      <c r="K20" s="145" t="s">
        <v>50</v>
      </c>
      <c r="L20" s="139" t="s">
        <v>50</v>
      </c>
      <c r="M20" s="137">
        <v>0</v>
      </c>
      <c r="N20" s="95">
        <v>0</v>
      </c>
      <c r="O20" s="95">
        <v>0</v>
      </c>
      <c r="P20" s="95">
        <v>0</v>
      </c>
      <c r="Q20" s="95">
        <v>0</v>
      </c>
      <c r="R20" s="95">
        <v>0</v>
      </c>
      <c r="S20" s="95">
        <v>1.0962977792624699E-2</v>
      </c>
      <c r="T20" s="95">
        <v>1.0962977792624699E-2</v>
      </c>
      <c r="U20" s="95">
        <v>1.1108939938890739E-2</v>
      </c>
      <c r="V20" s="95">
        <v>1.1217407249446998E-2</v>
      </c>
      <c r="W20" s="95">
        <v>1.1271918521788021E-2</v>
      </c>
      <c r="X20" s="96">
        <v>1.1271918521788021E-2</v>
      </c>
      <c r="Y20" s="3">
        <v>106.95383805228499</v>
      </c>
      <c r="Z20" s="3">
        <v>233.63374397186101</v>
      </c>
      <c r="AA20" s="3">
        <v>567.79366401263496</v>
      </c>
      <c r="AB20" s="95">
        <v>490.356167819988</v>
      </c>
      <c r="AC20" s="95">
        <v>678.32693604910696</v>
      </c>
      <c r="AD20" s="95">
        <v>1117.1244414376599</v>
      </c>
      <c r="AE20" s="95">
        <v>1362.4731516491299</v>
      </c>
      <c r="AF20" s="95">
        <v>1540.77911787582</v>
      </c>
      <c r="AG20" s="96">
        <v>2216.3372697228901</v>
      </c>
      <c r="AY20" s="163" t="s">
        <v>11</v>
      </c>
      <c r="AZ20" s="92" t="s">
        <v>50</v>
      </c>
      <c r="BA20" s="22" t="b">
        <v>0</v>
      </c>
      <c r="BB20" s="79"/>
      <c r="BC20" s="23"/>
      <c r="BD20" s="59"/>
      <c r="BE20" s="68"/>
      <c r="BF20" s="4"/>
      <c r="BG20" s="16"/>
      <c r="BH20" s="5"/>
      <c r="BI20" s="74"/>
      <c r="BJ20" s="77"/>
      <c r="BK20" s="77"/>
      <c r="BL20" s="78"/>
      <c r="BM20" s="58"/>
      <c r="BN20" s="22"/>
      <c r="BO20" s="22"/>
      <c r="BP20" s="11"/>
      <c r="BQ20" s="8">
        <v>1.27132424629954</v>
      </c>
      <c r="BR20" s="9">
        <v>1.2892615806926699</v>
      </c>
      <c r="BS20" s="9">
        <v>1.3071715614842701</v>
      </c>
      <c r="BT20" s="9">
        <v>1.3152724374986899</v>
      </c>
      <c r="BU20" s="9">
        <v>1.3219915371051001</v>
      </c>
      <c r="BV20" s="10">
        <v>1.34430170978341</v>
      </c>
      <c r="BW20" s="14"/>
      <c r="BX20" s="3">
        <v>749.45399999999995</v>
      </c>
      <c r="BY20" s="5">
        <v>2</v>
      </c>
      <c r="BZ20" s="5" t="s">
        <v>30</v>
      </c>
      <c r="CA20" s="5">
        <v>0</v>
      </c>
      <c r="CB20" s="5"/>
      <c r="CC20" s="5"/>
      <c r="CD20" s="5"/>
      <c r="CE20" s="68" t="s">
        <v>11</v>
      </c>
      <c r="CF20" s="5"/>
      <c r="CG20" s="5" t="s">
        <v>50</v>
      </c>
      <c r="CH20" s="5"/>
      <c r="CI20" s="5" t="s">
        <v>50</v>
      </c>
      <c r="CJ20" s="5"/>
      <c r="CK20" s="4">
        <v>0</v>
      </c>
      <c r="CL20" s="5"/>
      <c r="CM20" s="4" t="s">
        <v>44</v>
      </c>
      <c r="CO20" t="s">
        <v>11</v>
      </c>
      <c r="CP20">
        <v>490.356167819988</v>
      </c>
      <c r="CQ20">
        <v>678.32693604910696</v>
      </c>
      <c r="CR20">
        <v>1117.1244414376599</v>
      </c>
      <c r="CS20">
        <v>1362.4731516491299</v>
      </c>
      <c r="CT20">
        <v>1540.77911787582</v>
      </c>
      <c r="CU20">
        <v>2216.3372697228901</v>
      </c>
      <c r="CV20" s="19"/>
      <c r="CW20" s="14"/>
      <c r="CX20" s="15">
        <v>1.67200172246228E-2</v>
      </c>
      <c r="CY20">
        <v>106.95383805228499</v>
      </c>
      <c r="CZ20">
        <v>233.63374397186101</v>
      </c>
      <c r="DA20">
        <v>567.79366401263496</v>
      </c>
      <c r="DB20">
        <v>413.10781445649201</v>
      </c>
      <c r="DC20">
        <v>555.546211344575</v>
      </c>
      <c r="DD20">
        <v>853.75136650157003</v>
      </c>
      <c r="DE20">
        <v>1009.77400945973</v>
      </c>
      <c r="DF20">
        <v>1120.8257369299399</v>
      </c>
      <c r="DG20">
        <v>1522.7835506854101</v>
      </c>
      <c r="DH20" s="14"/>
      <c r="DI20" s="14"/>
      <c r="DO20" t="s">
        <v>296</v>
      </c>
      <c r="DR20">
        <v>0</v>
      </c>
      <c r="DS20" t="s">
        <v>296</v>
      </c>
      <c r="DT20" t="s">
        <v>296</v>
      </c>
    </row>
    <row r="21" spans="1:124" x14ac:dyDescent="0.3">
      <c r="A21" s="109" t="s">
        <v>6</v>
      </c>
      <c r="B21" s="4">
        <v>27.6</v>
      </c>
      <c r="C21" s="95">
        <v>128</v>
      </c>
      <c r="D21" s="4">
        <v>0.63832100000000003</v>
      </c>
      <c r="E21" s="16">
        <v>9.7990091663568996E-3</v>
      </c>
      <c r="F21" s="7" t="s">
        <v>290</v>
      </c>
      <c r="G21" s="3" t="s">
        <v>129</v>
      </c>
      <c r="H21" s="23">
        <v>1.2133550643920901</v>
      </c>
      <c r="I21" s="4">
        <v>2</v>
      </c>
      <c r="J21" s="149">
        <v>0.99820506458583314</v>
      </c>
      <c r="K21" s="145" t="s">
        <v>206</v>
      </c>
      <c r="L21" s="139" t="s">
        <v>50</v>
      </c>
      <c r="M21" s="137">
        <v>0</v>
      </c>
      <c r="N21" s="95">
        <v>0</v>
      </c>
      <c r="O21" s="95">
        <v>0</v>
      </c>
      <c r="P21" s="95">
        <v>0</v>
      </c>
      <c r="Q21" s="95">
        <v>0</v>
      </c>
      <c r="R21" s="95">
        <v>0</v>
      </c>
      <c r="S21" s="95">
        <v>7.1219668082933511E-3</v>
      </c>
      <c r="T21" s="95">
        <v>7.7983764150648654E-3</v>
      </c>
      <c r="U21" s="95">
        <v>1.1319645002578687E-2</v>
      </c>
      <c r="V21" s="95">
        <v>2.2635096510098523E-2</v>
      </c>
      <c r="W21" s="95">
        <v>5.121418910455993E-2</v>
      </c>
      <c r="X21" s="96">
        <v>0.34265201639378934</v>
      </c>
      <c r="Y21" s="3">
        <v>117.042985944234</v>
      </c>
      <c r="Z21" s="3">
        <v>206.86279384199099</v>
      </c>
      <c r="AA21" s="3">
        <v>365.60645364919901</v>
      </c>
      <c r="AB21" s="95">
        <v>195.80510215713699</v>
      </c>
      <c r="AC21" s="95">
        <v>309.36498233083699</v>
      </c>
      <c r="AD21" s="95">
        <v>483.99247188426398</v>
      </c>
      <c r="AE21" s="95">
        <v>550.601101656938</v>
      </c>
      <c r="AF21" s="95">
        <v>656.35487213265503</v>
      </c>
      <c r="AG21" s="96">
        <v>881.47857613975702</v>
      </c>
      <c r="AY21" s="163" t="s">
        <v>6</v>
      </c>
      <c r="AZ21" s="92" t="s">
        <v>206</v>
      </c>
      <c r="BA21" s="22" t="b">
        <v>1</v>
      </c>
      <c r="BB21" s="79">
        <v>2</v>
      </c>
      <c r="BC21" s="23">
        <v>1.2133550643920901</v>
      </c>
      <c r="BD21" s="59" t="s">
        <v>301</v>
      </c>
      <c r="BE21" s="68" t="s">
        <v>6</v>
      </c>
      <c r="BF21" s="4">
        <v>0.63832100000000003</v>
      </c>
      <c r="BG21" s="16">
        <v>9.7990091663568996E-3</v>
      </c>
      <c r="BH21" s="5" t="s">
        <v>30</v>
      </c>
      <c r="BI21" t="s">
        <v>206</v>
      </c>
      <c r="BJ21" s="18" t="s">
        <v>208</v>
      </c>
      <c r="BK21" s="18" t="s">
        <v>208</v>
      </c>
      <c r="BL21" s="5" t="s">
        <v>1</v>
      </c>
      <c r="BM21" s="23" t="s">
        <v>88</v>
      </c>
      <c r="BN21" s="22"/>
      <c r="BO21" s="22"/>
      <c r="BP21" s="11"/>
      <c r="BQ21" s="8">
        <v>0.63860924836945498</v>
      </c>
      <c r="BR21" s="9">
        <v>0.66111094664250702</v>
      </c>
      <c r="BS21" s="9">
        <v>0.71227303218828697</v>
      </c>
      <c r="BT21" s="9">
        <v>0.75630933083055196</v>
      </c>
      <c r="BU21" s="9">
        <v>0.81400385558187005</v>
      </c>
      <c r="BV21" s="10">
        <v>1.1731264769579699</v>
      </c>
      <c r="BW21" s="14"/>
      <c r="BX21" s="3">
        <v>638.32100000000003</v>
      </c>
      <c r="BY21" s="5">
        <v>2</v>
      </c>
      <c r="BZ21" s="5" t="s">
        <v>30</v>
      </c>
      <c r="CA21" s="5">
        <v>8260</v>
      </c>
      <c r="CB21" s="5">
        <v>8260</v>
      </c>
      <c r="CC21" s="5">
        <v>1000</v>
      </c>
      <c r="CD21" s="5" t="s">
        <v>302</v>
      </c>
      <c r="CE21" s="68" t="s">
        <v>6</v>
      </c>
      <c r="CF21" s="5">
        <v>1000</v>
      </c>
      <c r="CG21" s="5" t="s">
        <v>206</v>
      </c>
      <c r="CH21" s="5"/>
      <c r="CI21" s="5" t="s">
        <v>50</v>
      </c>
      <c r="CJ21" s="5">
        <v>1E-3</v>
      </c>
      <c r="CK21" s="4">
        <v>12.940197800166301</v>
      </c>
      <c r="CL21" s="5">
        <v>12.940197800166301</v>
      </c>
      <c r="CM21" s="4">
        <v>12.940197800166301</v>
      </c>
      <c r="CO21" t="s">
        <v>6</v>
      </c>
      <c r="CP21">
        <v>195.80510215713699</v>
      </c>
      <c r="CQ21">
        <v>309.36498233083699</v>
      </c>
      <c r="CR21">
        <v>483.99247188426398</v>
      </c>
      <c r="CS21">
        <v>550.601101656938</v>
      </c>
      <c r="CT21">
        <v>656.35487213265503</v>
      </c>
      <c r="CU21">
        <v>881.47857613975702</v>
      </c>
      <c r="CV21" s="19"/>
      <c r="CW21" s="14"/>
      <c r="CX21" s="15">
        <v>9.7990091663568996E-3</v>
      </c>
      <c r="CY21">
        <v>117.042985944234</v>
      </c>
      <c r="CZ21">
        <v>206.86279384199099</v>
      </c>
      <c r="DA21">
        <v>365.60645364919901</v>
      </c>
      <c r="DB21">
        <v>169.01125650380499</v>
      </c>
      <c r="DC21">
        <v>245.95733496809001</v>
      </c>
      <c r="DD21">
        <v>309.22196667184397</v>
      </c>
      <c r="DE21">
        <v>332.53683951661401</v>
      </c>
      <c r="DF21">
        <v>368.26440952246401</v>
      </c>
      <c r="DG21">
        <v>429.43540606708598</v>
      </c>
      <c r="DH21" s="14"/>
      <c r="DI21" s="14"/>
      <c r="DN21">
        <v>1</v>
      </c>
      <c r="DO21">
        <v>1</v>
      </c>
      <c r="DQ21">
        <v>1</v>
      </c>
      <c r="DR21">
        <v>1</v>
      </c>
      <c r="DS21" t="s">
        <v>296</v>
      </c>
      <c r="DT21" t="s">
        <v>297</v>
      </c>
    </row>
    <row r="22" spans="1:124" x14ac:dyDescent="0.3">
      <c r="A22" s="109" t="s">
        <v>12</v>
      </c>
      <c r="B22" s="4">
        <v>27</v>
      </c>
      <c r="C22" s="95">
        <v>186.477420479231</v>
      </c>
      <c r="D22" s="4">
        <v>0.46207500000000001</v>
      </c>
      <c r="E22" s="16">
        <v>1.00168588195909E-2</v>
      </c>
      <c r="F22" s="7" t="s">
        <v>291</v>
      </c>
      <c r="G22" s="3" t="s">
        <v>129</v>
      </c>
      <c r="H22" s="23">
        <v>1.28837883472443</v>
      </c>
      <c r="I22" s="4">
        <v>2.8</v>
      </c>
      <c r="J22" s="149">
        <v>0.85185028274998542</v>
      </c>
      <c r="K22" s="145" t="s">
        <v>50</v>
      </c>
      <c r="L22" s="139" t="s">
        <v>50</v>
      </c>
      <c r="M22" s="137">
        <v>0</v>
      </c>
      <c r="N22" s="95">
        <v>0</v>
      </c>
      <c r="O22" s="95">
        <v>0</v>
      </c>
      <c r="P22" s="95">
        <v>0</v>
      </c>
      <c r="Q22" s="95">
        <v>0</v>
      </c>
      <c r="R22" s="95">
        <v>0</v>
      </c>
      <c r="S22" s="95">
        <v>1.6951282090299193E-2</v>
      </c>
      <c r="T22" s="95">
        <v>1.7010524134508726E-2</v>
      </c>
      <c r="U22" s="95">
        <v>1.7010524134508726E-2</v>
      </c>
      <c r="V22" s="95">
        <v>2.35771897021925E-2</v>
      </c>
      <c r="W22" s="95">
        <v>6.8292551030845861E-2</v>
      </c>
      <c r="X22" s="96">
        <v>7.5922622519680141E-2</v>
      </c>
      <c r="Y22" s="3">
        <v>247.85238282421699</v>
      </c>
      <c r="Z22" s="3">
        <v>413.392982523059</v>
      </c>
      <c r="AA22" s="3">
        <v>689.44737777226601</v>
      </c>
      <c r="AB22" s="95">
        <v>190.88595504555801</v>
      </c>
      <c r="AC22" s="95">
        <v>303.646583168061</v>
      </c>
      <c r="AD22" s="95">
        <v>470.55188580220403</v>
      </c>
      <c r="AE22" s="95">
        <v>577.87361741458699</v>
      </c>
      <c r="AF22" s="95">
        <v>672.45679334435999</v>
      </c>
      <c r="AG22" s="96">
        <v>945.95255906866203</v>
      </c>
      <c r="AY22" s="163" t="s">
        <v>12</v>
      </c>
      <c r="AZ22" s="92" t="s">
        <v>50</v>
      </c>
      <c r="BA22" s="22" t="b">
        <v>1</v>
      </c>
      <c r="BB22" s="79">
        <v>2.8</v>
      </c>
      <c r="BC22" s="23">
        <v>1.28837883472443</v>
      </c>
      <c r="BD22" s="59" t="s">
        <v>301</v>
      </c>
      <c r="BE22" s="68" t="s">
        <v>12</v>
      </c>
      <c r="BF22" s="4">
        <v>0.46207500000000001</v>
      </c>
      <c r="BG22" s="16">
        <v>1.00168588195909E-2</v>
      </c>
      <c r="BH22" s="5" t="s">
        <v>31</v>
      </c>
      <c r="BI22" t="s">
        <v>50</v>
      </c>
      <c r="BJ22" s="18" t="s">
        <v>208</v>
      </c>
      <c r="BK22" s="18" t="s">
        <v>208</v>
      </c>
      <c r="BL22" s="5" t="s">
        <v>0</v>
      </c>
      <c r="BM22" s="59" t="s">
        <v>80</v>
      </c>
      <c r="BN22" s="22"/>
      <c r="BO22" s="22"/>
      <c r="BP22" s="11"/>
      <c r="BQ22" s="8">
        <v>0.46906541431263299</v>
      </c>
      <c r="BR22" s="9">
        <v>0.443710021274968</v>
      </c>
      <c r="BS22" s="9">
        <v>0.39931814134792498</v>
      </c>
      <c r="BT22" s="9">
        <v>0.38503037531996298</v>
      </c>
      <c r="BU22" s="9">
        <v>0.43959667491857102</v>
      </c>
      <c r="BV22" s="10">
        <v>0.43703844362157701</v>
      </c>
      <c r="BW22" s="14"/>
      <c r="BX22" s="3">
        <v>462.07499999999999</v>
      </c>
      <c r="BY22" s="5">
        <v>5</v>
      </c>
      <c r="BZ22" s="5" t="s">
        <v>31</v>
      </c>
      <c r="CA22" s="5">
        <v>0</v>
      </c>
      <c r="CB22" s="5"/>
      <c r="CC22" s="5"/>
      <c r="CD22" s="5"/>
      <c r="CE22" s="68" t="s">
        <v>12</v>
      </c>
      <c r="CF22" s="5"/>
      <c r="CG22" s="5" t="s">
        <v>50</v>
      </c>
      <c r="CH22" s="5"/>
      <c r="CI22" s="5" t="s">
        <v>50</v>
      </c>
      <c r="CJ22" s="5"/>
      <c r="CK22" s="4">
        <v>0</v>
      </c>
      <c r="CL22" s="5"/>
      <c r="CM22" s="4" t="s">
        <v>44</v>
      </c>
      <c r="CO22" t="s">
        <v>12</v>
      </c>
      <c r="CP22">
        <v>190.88595504555801</v>
      </c>
      <c r="CQ22">
        <v>303.646583168061</v>
      </c>
      <c r="CR22">
        <v>470.55188580220403</v>
      </c>
      <c r="CS22">
        <v>577.87361741458699</v>
      </c>
      <c r="CT22">
        <v>672.45679334435999</v>
      </c>
      <c r="CU22">
        <v>945.95255906866203</v>
      </c>
      <c r="CV22" s="19"/>
      <c r="CW22" s="14"/>
      <c r="CX22" s="15">
        <v>1.00168588195909E-2</v>
      </c>
      <c r="CY22">
        <v>247.85238282421699</v>
      </c>
      <c r="CZ22">
        <v>413.392982523059</v>
      </c>
      <c r="DA22">
        <v>689.44737777226601</v>
      </c>
      <c r="DB22">
        <v>162.38238942481999</v>
      </c>
      <c r="DC22">
        <v>248.95890546577999</v>
      </c>
      <c r="DD22">
        <v>368.41686317630501</v>
      </c>
      <c r="DE22">
        <v>433.58977955778602</v>
      </c>
      <c r="DF22">
        <v>460.765652337007</v>
      </c>
      <c r="DG22">
        <v>592.81221505351198</v>
      </c>
      <c r="DH22" s="14"/>
      <c r="DI22" s="14"/>
      <c r="DN22">
        <v>1</v>
      </c>
      <c r="DO22">
        <v>1</v>
      </c>
      <c r="DQ22">
        <v>1</v>
      </c>
      <c r="DR22">
        <v>1</v>
      </c>
      <c r="DS22" t="s">
        <v>296</v>
      </c>
      <c r="DT22" t="s">
        <v>297</v>
      </c>
    </row>
    <row r="23" spans="1:124" x14ac:dyDescent="0.3">
      <c r="A23" s="109" t="s">
        <v>13</v>
      </c>
      <c r="B23" s="4">
        <v>19.2</v>
      </c>
      <c r="C23" s="95">
        <v>195.184631545531</v>
      </c>
      <c r="D23" s="4">
        <v>1.1261700000000001</v>
      </c>
      <c r="E23" s="16">
        <v>1.7536097311226798E-2</v>
      </c>
      <c r="F23" s="7" t="s">
        <v>292</v>
      </c>
      <c r="G23" s="3" t="s">
        <v>129</v>
      </c>
      <c r="H23" s="23">
        <v>1.4666666984558101</v>
      </c>
      <c r="I23" s="4">
        <v>1</v>
      </c>
      <c r="J23" s="148">
        <v>0.18761586588067805</v>
      </c>
      <c r="K23" s="145" t="s">
        <v>50</v>
      </c>
      <c r="L23" s="139" t="s">
        <v>50</v>
      </c>
      <c r="M23" s="137">
        <v>0</v>
      </c>
      <c r="N23" s="95">
        <v>0</v>
      </c>
      <c r="O23" s="95">
        <v>0</v>
      </c>
      <c r="P23" s="95">
        <v>0</v>
      </c>
      <c r="Q23" s="95">
        <v>0</v>
      </c>
      <c r="R23" s="95">
        <v>0</v>
      </c>
      <c r="S23" s="95">
        <v>3.650773061179538E-2</v>
      </c>
      <c r="T23" s="95">
        <v>3.7298503393276498E-2</v>
      </c>
      <c r="U23" s="95">
        <v>3.7862017815707749E-2</v>
      </c>
      <c r="V23" s="95">
        <v>3.8301905376251007E-2</v>
      </c>
      <c r="W23" s="95">
        <v>3.8789818094390097E-2</v>
      </c>
      <c r="X23" s="96">
        <v>4.6076665987858666E-2</v>
      </c>
      <c r="Y23" s="3">
        <v>295.70855496693298</v>
      </c>
      <c r="Z23" s="3">
        <v>507.11232712224</v>
      </c>
      <c r="AA23" s="3">
        <v>747.56662069768095</v>
      </c>
      <c r="AB23" s="95">
        <v>366.890799174032</v>
      </c>
      <c r="AC23" s="95">
        <v>532.34224190334396</v>
      </c>
      <c r="AD23" s="95">
        <v>788.24773146305495</v>
      </c>
      <c r="AE23" s="95">
        <v>931.28795282121405</v>
      </c>
      <c r="AF23" s="95">
        <v>1082.0503129558499</v>
      </c>
      <c r="AG23" s="96">
        <v>1559.1240895931601</v>
      </c>
      <c r="AY23" s="163" t="s">
        <v>13</v>
      </c>
      <c r="AZ23" s="92" t="s">
        <v>50</v>
      </c>
      <c r="BA23" s="22" t="b">
        <v>1</v>
      </c>
      <c r="BB23" s="4">
        <v>1</v>
      </c>
      <c r="BC23" s="23">
        <v>1.4666666984558101</v>
      </c>
      <c r="BD23" s="58" t="s">
        <v>298</v>
      </c>
      <c r="BE23" s="68" t="s">
        <v>13</v>
      </c>
      <c r="BF23" s="4">
        <v>1.1261700000000001</v>
      </c>
      <c r="BG23" s="16">
        <v>1.7536097311226798E-2</v>
      </c>
      <c r="BH23" s="5" t="s">
        <v>30</v>
      </c>
      <c r="BI23" t="s">
        <v>50</v>
      </c>
      <c r="BJ23" s="18" t="s">
        <v>208</v>
      </c>
      <c r="BK23" s="18" t="s">
        <v>208</v>
      </c>
      <c r="BL23" s="5" t="s">
        <v>5</v>
      </c>
      <c r="BM23" s="23" t="s">
        <v>88</v>
      </c>
      <c r="BN23" s="22"/>
      <c r="BO23" s="22"/>
      <c r="BP23" s="11"/>
      <c r="BQ23" s="8">
        <v>0.47429801799627902</v>
      </c>
      <c r="BR23" s="9">
        <v>0.488170572706081</v>
      </c>
      <c r="BS23" s="9">
        <v>0.50007103189730095</v>
      </c>
      <c r="BT23" s="9">
        <v>0.50182692247217198</v>
      </c>
      <c r="BU23" s="9">
        <v>0.50570147760248196</v>
      </c>
      <c r="BV23" s="10">
        <v>0.54025049608106201</v>
      </c>
      <c r="BW23" s="14"/>
      <c r="BX23" s="3">
        <v>1126.17</v>
      </c>
      <c r="BY23" s="5">
        <v>2</v>
      </c>
      <c r="BZ23" s="5" t="s">
        <v>30</v>
      </c>
      <c r="CA23" s="5">
        <v>0</v>
      </c>
      <c r="CB23" s="5"/>
      <c r="CC23" s="5"/>
      <c r="CD23" s="5"/>
      <c r="CE23" s="68" t="s">
        <v>13</v>
      </c>
      <c r="CF23" s="5"/>
      <c r="CG23" s="5" t="s">
        <v>50</v>
      </c>
      <c r="CH23" s="5"/>
      <c r="CI23" s="5" t="s">
        <v>50</v>
      </c>
      <c r="CJ23" s="5"/>
      <c r="CK23" s="4">
        <v>0</v>
      </c>
      <c r="CL23" s="5"/>
      <c r="CM23" s="4" t="s">
        <v>44</v>
      </c>
      <c r="CO23" t="s">
        <v>13</v>
      </c>
      <c r="CP23">
        <v>366.890799174032</v>
      </c>
      <c r="CQ23">
        <v>532.34224190334396</v>
      </c>
      <c r="CR23">
        <v>788.24773146305495</v>
      </c>
      <c r="CS23">
        <v>931.28795282121405</v>
      </c>
      <c r="CT23">
        <v>1082.0503129558499</v>
      </c>
      <c r="CU23">
        <v>1559.1240895931601</v>
      </c>
      <c r="CV23" s="19"/>
      <c r="CW23" s="14"/>
      <c r="CX23" s="15">
        <v>1.7536097311226798E-2</v>
      </c>
      <c r="CY23">
        <v>295.70855496693298</v>
      </c>
      <c r="CZ23">
        <v>507.11232712224</v>
      </c>
      <c r="DA23">
        <v>747.56662069768095</v>
      </c>
      <c r="DB23">
        <v>269.13037377019401</v>
      </c>
      <c r="DC23">
        <v>374.61986231115998</v>
      </c>
      <c r="DD23">
        <v>526.07129688720102</v>
      </c>
      <c r="DE23">
        <v>605.85439454197399</v>
      </c>
      <c r="DF23">
        <v>685.50944910557496</v>
      </c>
      <c r="DG23">
        <v>900.05605410562202</v>
      </c>
      <c r="DH23" s="14"/>
      <c r="DI23" s="14"/>
      <c r="DN23">
        <v>1</v>
      </c>
      <c r="DO23">
        <v>1</v>
      </c>
      <c r="DQ23">
        <v>1</v>
      </c>
      <c r="DR23">
        <v>1</v>
      </c>
      <c r="DS23" t="s">
        <v>296</v>
      </c>
      <c r="DT23" t="s">
        <v>297</v>
      </c>
    </row>
    <row r="24" spans="1:124" x14ac:dyDescent="0.3">
      <c r="A24" s="109" t="s">
        <v>14</v>
      </c>
      <c r="B24" s="4">
        <v>18.2</v>
      </c>
      <c r="C24" s="95">
        <v>210.096612540671</v>
      </c>
      <c r="D24" s="4">
        <v>0.70263599999999993</v>
      </c>
      <c r="E24" s="16">
        <v>1.0608506334761099E-2</v>
      </c>
      <c r="F24" s="7" t="s">
        <v>292</v>
      </c>
      <c r="G24" s="3" t="s">
        <v>129</v>
      </c>
      <c r="H24" s="23">
        <v>2.7868852615356401</v>
      </c>
      <c r="I24" s="4">
        <v>1.2</v>
      </c>
      <c r="J24" s="148">
        <v>0</v>
      </c>
      <c r="K24" s="145" t="s">
        <v>35</v>
      </c>
      <c r="L24" s="139" t="s">
        <v>50</v>
      </c>
      <c r="M24" s="137">
        <v>0</v>
      </c>
      <c r="N24" s="95">
        <v>0</v>
      </c>
      <c r="O24" s="95">
        <v>0</v>
      </c>
      <c r="P24" s="95">
        <v>0</v>
      </c>
      <c r="Q24" s="95">
        <v>0</v>
      </c>
      <c r="R24" s="95">
        <v>2.5774369659396901</v>
      </c>
      <c r="S24" s="95">
        <v>5.02909903884384E-2</v>
      </c>
      <c r="T24" s="95">
        <v>9.185435045539056E-2</v>
      </c>
      <c r="U24" s="95">
        <v>0.27156843899213251</v>
      </c>
      <c r="V24" s="95">
        <v>0.52921241454344503</v>
      </c>
      <c r="W24" s="95">
        <v>0.87231239506119818</v>
      </c>
      <c r="X24" s="96">
        <v>0.96151196953037699</v>
      </c>
      <c r="Y24" s="3">
        <v>530.32655941708003</v>
      </c>
      <c r="Z24" s="3">
        <v>732.95979062839297</v>
      </c>
      <c r="AA24" s="3">
        <v>1012.98408663825</v>
      </c>
      <c r="AB24" s="95">
        <v>132.64710350681199</v>
      </c>
      <c r="AC24" s="95">
        <v>200.119378491334</v>
      </c>
      <c r="AD24" s="95">
        <v>299.78475865686198</v>
      </c>
      <c r="AE24" s="95">
        <v>349.943254373466</v>
      </c>
      <c r="AF24" s="95">
        <v>410.34199234563999</v>
      </c>
      <c r="AG24" s="96">
        <v>562.54234753856201</v>
      </c>
      <c r="AY24" s="163" t="s">
        <v>14</v>
      </c>
      <c r="AZ24" s="92" t="s">
        <v>35</v>
      </c>
      <c r="BA24" s="22" t="b">
        <v>1</v>
      </c>
      <c r="BB24" s="4">
        <v>1.2</v>
      </c>
      <c r="BC24" s="23">
        <v>2.7868852615356401</v>
      </c>
      <c r="BD24" s="28" t="s">
        <v>299</v>
      </c>
      <c r="BE24" s="68" t="s">
        <v>14</v>
      </c>
      <c r="BF24" s="4">
        <v>0.70263599999999993</v>
      </c>
      <c r="BG24" s="16">
        <v>1.0608506334761099E-2</v>
      </c>
      <c r="BH24" s="5" t="s">
        <v>35</v>
      </c>
      <c r="BI24" t="s">
        <v>35</v>
      </c>
      <c r="BJ24" s="18" t="s">
        <v>208</v>
      </c>
      <c r="BK24" s="18" t="s">
        <v>208</v>
      </c>
      <c r="BL24" s="5" t="s">
        <v>1</v>
      </c>
      <c r="BM24" s="23" t="s">
        <v>88</v>
      </c>
      <c r="BN24" s="22"/>
      <c r="BO24" s="22"/>
      <c r="BP24" s="11"/>
      <c r="BQ24" s="8">
        <v>0.77704507616280705</v>
      </c>
      <c r="BR24" s="9">
        <v>0.88732506256161003</v>
      </c>
      <c r="BS24" s="9">
        <v>1.1939315859750701</v>
      </c>
      <c r="BT24" s="9">
        <v>1.52269118025206</v>
      </c>
      <c r="BU24" s="9">
        <v>1.9267692127114899</v>
      </c>
      <c r="BV24" s="10">
        <v>2.11908060154511</v>
      </c>
      <c r="BW24" s="14"/>
      <c r="BX24" s="3">
        <v>702.63599999999997</v>
      </c>
      <c r="BY24" s="5">
        <v>500</v>
      </c>
      <c r="BZ24" s="5" t="s">
        <v>35</v>
      </c>
      <c r="CA24" s="5">
        <v>2776</v>
      </c>
      <c r="CB24" s="5">
        <v>2776</v>
      </c>
      <c r="CC24" s="5">
        <v>500</v>
      </c>
      <c r="CD24" s="5" t="s">
        <v>35</v>
      </c>
      <c r="CE24" s="68" t="s">
        <v>14</v>
      </c>
      <c r="CF24" s="5">
        <v>500</v>
      </c>
      <c r="CG24" s="5" t="s">
        <v>35</v>
      </c>
      <c r="CH24" s="5"/>
      <c r="CI24" s="5" t="s">
        <v>50</v>
      </c>
      <c r="CJ24" s="5">
        <v>2E-3</v>
      </c>
      <c r="CK24" s="4">
        <v>3.9508365640246099</v>
      </c>
      <c r="CL24" s="5">
        <v>3.9508365640246099</v>
      </c>
      <c r="CM24" s="4">
        <v>3.9508365640246099</v>
      </c>
      <c r="CO24" t="s">
        <v>14</v>
      </c>
      <c r="CP24">
        <v>132.64710350681199</v>
      </c>
      <c r="CQ24">
        <v>200.119378491334</v>
      </c>
      <c r="CR24">
        <v>299.78475865686198</v>
      </c>
      <c r="CS24">
        <v>349.943254373466</v>
      </c>
      <c r="CT24">
        <v>410.34199234563999</v>
      </c>
      <c r="CU24">
        <v>562.54234753856201</v>
      </c>
      <c r="CV24" s="19"/>
      <c r="CW24" s="14"/>
      <c r="CX24" s="15">
        <v>1.0608506334761099E-2</v>
      </c>
      <c r="CY24">
        <v>530.32655941708003</v>
      </c>
      <c r="CZ24">
        <v>732.95979062839297</v>
      </c>
      <c r="DA24">
        <v>1012.98408663825</v>
      </c>
      <c r="DB24">
        <v>103.721485267152</v>
      </c>
      <c r="DC24">
        <v>141.72707162456001</v>
      </c>
      <c r="DD24">
        <v>185.78139068772299</v>
      </c>
      <c r="DE24">
        <v>203.602563784491</v>
      </c>
      <c r="DF24">
        <v>227.90599276967899</v>
      </c>
      <c r="DG24">
        <v>263.26194121935998</v>
      </c>
      <c r="DH24" s="14"/>
      <c r="DI24" s="14"/>
      <c r="DO24" t="s">
        <v>296</v>
      </c>
      <c r="DR24">
        <v>0</v>
      </c>
      <c r="DS24" t="s">
        <v>296</v>
      </c>
      <c r="DT24" t="s">
        <v>297</v>
      </c>
    </row>
    <row r="25" spans="1:124" x14ac:dyDescent="0.3">
      <c r="A25" s="109" t="s">
        <v>15</v>
      </c>
      <c r="B25" s="4">
        <v>17.899999999999999</v>
      </c>
      <c r="C25" s="95">
        <v>236.16254501611101</v>
      </c>
      <c r="D25" s="4">
        <v>1.08274</v>
      </c>
      <c r="E25" s="16">
        <v>1.5566913048002E-2</v>
      </c>
      <c r="F25" s="7" t="s">
        <v>292</v>
      </c>
      <c r="G25" s="3" t="s">
        <v>129</v>
      </c>
      <c r="H25" s="23">
        <v>2.2178218364715598</v>
      </c>
      <c r="I25" s="4">
        <v>1.7</v>
      </c>
      <c r="J25" s="148">
        <v>0</v>
      </c>
      <c r="K25" s="145" t="s">
        <v>50</v>
      </c>
      <c r="L25" s="139" t="s">
        <v>50</v>
      </c>
      <c r="M25" s="137">
        <v>0</v>
      </c>
      <c r="N25" s="95">
        <v>0</v>
      </c>
      <c r="O25" s="95">
        <v>0</v>
      </c>
      <c r="P25" s="95">
        <v>0</v>
      </c>
      <c r="Q25" s="95">
        <v>0</v>
      </c>
      <c r="R25" s="95">
        <v>0</v>
      </c>
      <c r="S25" s="95">
        <v>3.2941563461441524E-2</v>
      </c>
      <c r="T25" s="95">
        <v>4.1885342811907013E-2</v>
      </c>
      <c r="U25" s="95">
        <v>5.9690145596522984E-2</v>
      </c>
      <c r="V25" s="95">
        <v>6.0265327800435926E-2</v>
      </c>
      <c r="W25" s="95">
        <v>6.4137052921130464E-2</v>
      </c>
      <c r="X25" s="96">
        <v>7.5764335023376247E-2</v>
      </c>
      <c r="Y25" s="3">
        <v>490.70852093603401</v>
      </c>
      <c r="Z25" s="3">
        <v>722.796392814716</v>
      </c>
      <c r="AA25" s="3">
        <v>1367.2746592231499</v>
      </c>
      <c r="AB25" s="95">
        <v>261.24218494817598</v>
      </c>
      <c r="AC25" s="95">
        <v>399.11865450902798</v>
      </c>
      <c r="AD25" s="95">
        <v>651.19289028068704</v>
      </c>
      <c r="AE25" s="95">
        <v>766.52895286565695</v>
      </c>
      <c r="AF25" s="95">
        <v>944.70717112111697</v>
      </c>
      <c r="AG25" s="96">
        <v>1267.7215804083401</v>
      </c>
      <c r="AY25" s="163" t="s">
        <v>15</v>
      </c>
      <c r="AZ25" s="92" t="s">
        <v>50</v>
      </c>
      <c r="BA25" s="22" t="b">
        <v>1</v>
      </c>
      <c r="BB25" s="4">
        <v>1.7</v>
      </c>
      <c r="BC25" s="23">
        <v>2.2178218364715598</v>
      </c>
      <c r="BD25" s="28" t="s">
        <v>299</v>
      </c>
      <c r="BE25" s="68" t="s">
        <v>15</v>
      </c>
      <c r="BF25" s="4">
        <v>1.08274</v>
      </c>
      <c r="BG25" s="16">
        <v>1.5566913048002E-2</v>
      </c>
      <c r="BH25" s="5" t="s">
        <v>32</v>
      </c>
      <c r="BI25" t="s">
        <v>50</v>
      </c>
      <c r="BJ25" s="18" t="s">
        <v>208</v>
      </c>
      <c r="BK25" s="18" t="s">
        <v>208</v>
      </c>
      <c r="BL25" s="5" t="s">
        <v>5</v>
      </c>
      <c r="BM25" s="23" t="s">
        <v>88</v>
      </c>
      <c r="BN25" s="22"/>
      <c r="BO25" s="22"/>
      <c r="BP25" s="11"/>
      <c r="BQ25" s="8">
        <v>0.836040711234036</v>
      </c>
      <c r="BR25" s="9">
        <v>0.87770000420276495</v>
      </c>
      <c r="BS25" s="9">
        <v>0.95151460902096496</v>
      </c>
      <c r="BT25" s="9">
        <v>0.97981240726571495</v>
      </c>
      <c r="BU25" s="9">
        <v>1.0111948771414601</v>
      </c>
      <c r="BV25" s="10">
        <v>1.0838367104790101</v>
      </c>
      <c r="BW25" s="14"/>
      <c r="BX25" s="3">
        <v>1082.74</v>
      </c>
      <c r="BY25" s="5">
        <v>25</v>
      </c>
      <c r="BZ25" s="5" t="s">
        <v>32</v>
      </c>
      <c r="CA25" s="5">
        <v>0</v>
      </c>
      <c r="CB25" s="5"/>
      <c r="CC25" s="5"/>
      <c r="CD25" s="5"/>
      <c r="CE25" s="68" t="s">
        <v>15</v>
      </c>
      <c r="CF25" s="5"/>
      <c r="CG25" s="5" t="s">
        <v>50</v>
      </c>
      <c r="CH25" s="5"/>
      <c r="CI25" s="5" t="s">
        <v>50</v>
      </c>
      <c r="CJ25" s="5"/>
      <c r="CK25" s="4">
        <v>0</v>
      </c>
      <c r="CL25" s="5"/>
      <c r="CM25" s="5" t="s">
        <v>44</v>
      </c>
      <c r="CO25" t="s">
        <v>15</v>
      </c>
      <c r="CP25">
        <v>261.24218494817598</v>
      </c>
      <c r="CQ25">
        <v>399.11865450902798</v>
      </c>
      <c r="CR25">
        <v>651.19289028068704</v>
      </c>
      <c r="CS25">
        <v>766.52895286565695</v>
      </c>
      <c r="CT25">
        <v>944.70717112111697</v>
      </c>
      <c r="CU25">
        <v>1267.7215804083401</v>
      </c>
      <c r="CW25" s="14"/>
      <c r="CX25" s="15">
        <v>1.5566913048002E-2</v>
      </c>
      <c r="CY25">
        <v>490.70852093603401</v>
      </c>
      <c r="CZ25">
        <v>722.796392814716</v>
      </c>
      <c r="DA25">
        <v>1367.2746592231499</v>
      </c>
      <c r="DB25">
        <v>193.754382691188</v>
      </c>
      <c r="DC25">
        <v>276.76467598369499</v>
      </c>
      <c r="DD25">
        <v>390.588291283751</v>
      </c>
      <c r="DE25">
        <v>440.40900093419702</v>
      </c>
      <c r="DF25">
        <v>505.41419279288198</v>
      </c>
      <c r="DG25">
        <v>616.71784754309101</v>
      </c>
      <c r="DH25" s="14"/>
      <c r="DI25" s="14"/>
      <c r="DN25">
        <v>1</v>
      </c>
      <c r="DO25">
        <v>1</v>
      </c>
      <c r="DQ25">
        <v>1</v>
      </c>
      <c r="DR25">
        <v>1</v>
      </c>
      <c r="DS25" t="s">
        <v>296</v>
      </c>
      <c r="DT25" t="s">
        <v>297</v>
      </c>
    </row>
    <row r="26" spans="1:124" ht="15" thickBot="1" x14ac:dyDescent="0.35">
      <c r="A26" s="110" t="s">
        <v>7</v>
      </c>
      <c r="B26" s="70">
        <v>12.3</v>
      </c>
      <c r="C26" s="102">
        <v>200.444472470411</v>
      </c>
      <c r="D26" s="70">
        <v>0.77419199999999999</v>
      </c>
      <c r="E26" s="71">
        <v>1.53101121021577E-2</v>
      </c>
      <c r="F26" s="7" t="s">
        <v>293</v>
      </c>
      <c r="G26" s="100" t="s">
        <v>129</v>
      </c>
      <c r="H26" s="101">
        <v>1.2689805030822801</v>
      </c>
      <c r="I26" s="70">
        <v>1.5</v>
      </c>
      <c r="J26" s="150">
        <v>0.42023621983368192</v>
      </c>
      <c r="K26" s="146" t="s">
        <v>50</v>
      </c>
      <c r="L26" s="140" t="s">
        <v>50</v>
      </c>
      <c r="M26" s="138">
        <v>0</v>
      </c>
      <c r="N26" s="102">
        <v>0</v>
      </c>
      <c r="O26" s="102">
        <v>0</v>
      </c>
      <c r="P26" s="102">
        <v>0</v>
      </c>
      <c r="Q26" s="102">
        <v>0</v>
      </c>
      <c r="R26" s="102">
        <v>0</v>
      </c>
      <c r="S26" s="102">
        <v>3.2782172846070226E-2</v>
      </c>
      <c r="T26" s="102">
        <v>4.0879991477940095E-2</v>
      </c>
      <c r="U26" s="102">
        <v>7.0161222450731212E-2</v>
      </c>
      <c r="V26" s="102">
        <v>7.7417100387662363E-2</v>
      </c>
      <c r="W26" s="102">
        <v>0.10244783923381887</v>
      </c>
      <c r="X26" s="103">
        <v>0.16795491696507711</v>
      </c>
      <c r="Y26" s="100">
        <v>405.044149093285</v>
      </c>
      <c r="Z26" s="100">
        <v>591.02508959116903</v>
      </c>
      <c r="AA26" s="100">
        <v>838.87349397866603</v>
      </c>
      <c r="AB26" s="102">
        <v>190.553570939145</v>
      </c>
      <c r="AC26" s="102">
        <v>275.83832883877199</v>
      </c>
      <c r="AD26" s="102">
        <v>439.669775697945</v>
      </c>
      <c r="AE26" s="102">
        <v>516.67848212160197</v>
      </c>
      <c r="AF26" s="102">
        <v>557.29131989834104</v>
      </c>
      <c r="AG26" s="103">
        <v>765.70488965789798</v>
      </c>
      <c r="AY26" s="164" t="s">
        <v>7</v>
      </c>
      <c r="AZ26" s="93" t="s">
        <v>50</v>
      </c>
      <c r="BA26" s="22" t="b">
        <v>1</v>
      </c>
      <c r="BB26" s="4">
        <v>1.5</v>
      </c>
      <c r="BC26" s="23">
        <v>1.2689805030822801</v>
      </c>
      <c r="BD26" s="59" t="s">
        <v>301</v>
      </c>
      <c r="BE26" s="69" t="s">
        <v>7</v>
      </c>
      <c r="BF26" s="70">
        <v>0.77419199999999999</v>
      </c>
      <c r="BG26" s="71">
        <v>1.53101121021577E-2</v>
      </c>
      <c r="BH26" s="91" t="s">
        <v>32</v>
      </c>
      <c r="BI26" t="s">
        <v>50</v>
      </c>
      <c r="BJ26" s="18" t="s">
        <v>208</v>
      </c>
      <c r="BK26" s="18" t="s">
        <v>208</v>
      </c>
      <c r="BL26" s="5" t="s">
        <v>1</v>
      </c>
      <c r="BM26" s="59" t="s">
        <v>93</v>
      </c>
      <c r="BN26" s="22"/>
      <c r="BO26" s="22"/>
      <c r="BP26" s="11"/>
      <c r="BQ26" s="8">
        <v>1.5741772239918099</v>
      </c>
      <c r="BR26" s="9">
        <v>1.6110843388713301</v>
      </c>
      <c r="BS26" s="9">
        <v>1.7031516239054301</v>
      </c>
      <c r="BT26" s="9">
        <v>1.7468278768605401</v>
      </c>
      <c r="BU26" s="9">
        <v>1.8117381556401799</v>
      </c>
      <c r="BV26" s="10">
        <v>2.0080060987931199</v>
      </c>
      <c r="BW26" s="14"/>
      <c r="BX26" s="3">
        <v>774.19200000000001</v>
      </c>
      <c r="BY26" s="5">
        <v>25</v>
      </c>
      <c r="BZ26" s="5" t="s">
        <v>32</v>
      </c>
      <c r="CA26" s="5">
        <v>0</v>
      </c>
      <c r="CB26" s="5"/>
      <c r="CC26" s="5"/>
      <c r="CD26" s="5"/>
      <c r="CE26" s="69" t="s">
        <v>7</v>
      </c>
      <c r="CF26" s="5"/>
      <c r="CG26" s="5" t="s">
        <v>50</v>
      </c>
      <c r="CH26" s="5"/>
      <c r="CI26" s="5" t="s">
        <v>50</v>
      </c>
      <c r="CJ26" s="5"/>
      <c r="CK26" s="4">
        <v>0</v>
      </c>
      <c r="CL26" s="5"/>
      <c r="CM26" s="5" t="s">
        <v>44</v>
      </c>
      <c r="CO26" t="s">
        <v>7</v>
      </c>
      <c r="CP26">
        <v>190.553570939145</v>
      </c>
      <c r="CQ26">
        <v>275.83832883877199</v>
      </c>
      <c r="CR26">
        <v>439.669775697945</v>
      </c>
      <c r="CS26">
        <v>516.67848212160197</v>
      </c>
      <c r="CT26">
        <v>557.29131989834104</v>
      </c>
      <c r="CU26">
        <v>765.70488965789798</v>
      </c>
      <c r="CW26" s="14"/>
      <c r="CX26" s="15">
        <v>1.53101121021577E-2</v>
      </c>
      <c r="CY26">
        <v>405.044149093285</v>
      </c>
      <c r="CZ26">
        <v>591.02508959116903</v>
      </c>
      <c r="DA26">
        <v>838.87349397866603</v>
      </c>
      <c r="DB26">
        <v>142.80087605740499</v>
      </c>
      <c r="DC26">
        <v>193.44004741716699</v>
      </c>
      <c r="DD26">
        <v>273.78908425977897</v>
      </c>
      <c r="DE26">
        <v>317.344646368611</v>
      </c>
      <c r="DF26">
        <v>341.03842922490998</v>
      </c>
      <c r="DG26">
        <v>435.74769237960902</v>
      </c>
      <c r="DH26" s="14"/>
      <c r="DI26" s="14"/>
      <c r="DN26">
        <v>1</v>
      </c>
      <c r="DO26">
        <v>1</v>
      </c>
      <c r="DQ26">
        <v>1</v>
      </c>
      <c r="DR26">
        <v>1</v>
      </c>
      <c r="DS26" t="s">
        <v>296</v>
      </c>
      <c r="DT26" t="s">
        <v>297</v>
      </c>
    </row>
  </sheetData>
  <mergeCells count="7">
    <mergeCell ref="S1:X1"/>
    <mergeCell ref="Y1:AA1"/>
    <mergeCell ref="AB1:AG1"/>
    <mergeCell ref="B1:B2"/>
    <mergeCell ref="C1:J1"/>
    <mergeCell ref="K1:L1"/>
    <mergeCell ref="M1:R1"/>
  </mergeCells>
  <conditionalFormatting sqref="H3:H26">
    <cfRule type="cellIs" dxfId="5" priority="3" operator="lessThan">
      <formula>3</formula>
    </cfRule>
  </conditionalFormatting>
  <conditionalFormatting sqref="I3:I26">
    <cfRule type="expression" dxfId="4" priority="2">
      <formula>AND(ISNUMBER(I3),I3&gt;$DV$1)</formula>
    </cfRule>
  </conditionalFormatting>
  <conditionalFormatting sqref="M3:R26">
    <cfRule type="colorScale" priority="33">
      <colorScale>
        <cfvo type="min"/>
        <cfvo type="max"/>
        <color rgb="FFFCFCFF"/>
        <color rgb="FF63BE7B"/>
      </colorScale>
    </cfRule>
  </conditionalFormatting>
  <conditionalFormatting sqref="S3:X26">
    <cfRule type="colorScale" priority="36">
      <colorScale>
        <cfvo type="min"/>
        <cfvo type="max"/>
        <color rgb="FFFCFCFF"/>
        <color rgb="FFF8696B"/>
      </colorScale>
    </cfRule>
  </conditionalFormatting>
  <conditionalFormatting sqref="AB3:AG26">
    <cfRule type="expression" dxfId="3" priority="10">
      <formula>$Z3="---"</formula>
    </cfRule>
    <cfRule type="expression" dxfId="2" priority="11">
      <formula>AND(NOT(ISBLANK($AA3)),AB3&gt;=$AA3)</formula>
    </cfRule>
    <cfRule type="expression" dxfId="1" priority="12">
      <formula>AND(NOT(ISBLANK($Z3)),AB3&gt;=$Z3)</formula>
    </cfRule>
    <cfRule type="expression" dxfId="0" priority="13">
      <formula>AND(NOT(ISBLANK($Y3)),AB3&gt;=$Y3)</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4E1FD-D600-4B5C-8544-A3947508B5C6}">
  <dimension ref="A1:S57"/>
  <sheetViews>
    <sheetView topLeftCell="A26" workbookViewId="0">
      <selection activeCell="D57" sqref="D57"/>
    </sheetView>
  </sheetViews>
  <sheetFormatPr defaultRowHeight="14.4" x14ac:dyDescent="0.3"/>
  <cols>
    <col min="2" max="2" width="27.109375" customWidth="1"/>
    <col min="3" max="3" width="21.88671875" customWidth="1"/>
    <col min="9" max="9" width="11.5546875" style="18" customWidth="1"/>
    <col min="10" max="10" width="13.33203125" style="18" customWidth="1"/>
  </cols>
  <sheetData>
    <row r="1" spans="1:12" ht="43.2" x14ac:dyDescent="0.3">
      <c r="A1" s="20" t="s">
        <v>185</v>
      </c>
      <c r="B1" s="20" t="s">
        <v>100</v>
      </c>
      <c r="C1" s="20" t="s">
        <v>186</v>
      </c>
      <c r="D1" s="67" t="s">
        <v>8</v>
      </c>
      <c r="E1" s="20" t="s">
        <v>52</v>
      </c>
      <c r="F1" s="20" t="s">
        <v>54</v>
      </c>
      <c r="G1" s="20" t="s">
        <v>51</v>
      </c>
      <c r="H1" s="26" t="s">
        <v>207</v>
      </c>
      <c r="I1" s="13" t="s">
        <v>209</v>
      </c>
      <c r="J1" s="13" t="s">
        <v>210</v>
      </c>
      <c r="K1" s="20" t="s">
        <v>49</v>
      </c>
      <c r="L1" s="20" t="s">
        <v>70</v>
      </c>
    </row>
    <row r="2" spans="1:12" x14ac:dyDescent="0.3">
      <c r="A2" s="35"/>
      <c r="B2" s="35" t="s">
        <v>50</v>
      </c>
      <c r="C2" s="35"/>
      <c r="D2" s="68" t="s">
        <v>36</v>
      </c>
      <c r="E2" s="29">
        <v>1.6922900000000001</v>
      </c>
      <c r="F2" s="38">
        <v>6.2896734105948003E-3</v>
      </c>
      <c r="G2" s="35" t="s">
        <v>50</v>
      </c>
      <c r="H2" t="s">
        <v>50</v>
      </c>
      <c r="I2" s="18" t="s">
        <v>208</v>
      </c>
      <c r="J2" s="18" t="s">
        <v>208</v>
      </c>
      <c r="K2" s="35" t="s">
        <v>50</v>
      </c>
      <c r="L2" s="35" t="s">
        <v>50</v>
      </c>
    </row>
    <row r="3" spans="1:12" x14ac:dyDescent="0.3">
      <c r="A3" s="35"/>
      <c r="B3" s="35" t="s">
        <v>50</v>
      </c>
      <c r="C3" s="35"/>
      <c r="D3" s="68" t="s">
        <v>37</v>
      </c>
      <c r="E3" s="29">
        <v>0.83223800000000003</v>
      </c>
      <c r="F3" s="38">
        <v>1.9717939965368601E-2</v>
      </c>
      <c r="G3" s="35" t="s">
        <v>50</v>
      </c>
      <c r="H3" t="s">
        <v>50</v>
      </c>
      <c r="I3" s="18" t="s">
        <v>208</v>
      </c>
      <c r="J3" s="18" t="s">
        <v>208</v>
      </c>
      <c r="K3" s="35" t="s">
        <v>50</v>
      </c>
      <c r="L3" s="35" t="s">
        <v>50</v>
      </c>
    </row>
    <row r="4" spans="1:12" x14ac:dyDescent="0.3">
      <c r="A4" s="25"/>
      <c r="B4" s="11" t="s">
        <v>59</v>
      </c>
      <c r="C4" s="25"/>
      <c r="D4" s="68" t="s">
        <v>38</v>
      </c>
      <c r="E4" s="4">
        <v>1.0626099999999998</v>
      </c>
      <c r="F4" s="17">
        <v>2.6072955553569998E-4</v>
      </c>
      <c r="K4" s="5" t="s">
        <v>46</v>
      </c>
      <c r="L4" s="25"/>
    </row>
    <row r="5" spans="1:12" x14ac:dyDescent="0.3">
      <c r="A5" s="4">
        <v>1.4</v>
      </c>
      <c r="B5" s="23">
        <v>1.5772358179092401</v>
      </c>
      <c r="C5" s="58" t="str">
        <f>IF(B5&lt;1.4,"HE",IF(AND(B5&gt;1.4,B5&lt;2.2),"ME","NE"))</f>
        <v>ME</v>
      </c>
      <c r="D5" s="68" t="s">
        <v>19</v>
      </c>
      <c r="E5" s="4">
        <v>2.7600700000000002</v>
      </c>
      <c r="F5" s="16">
        <v>2.4154879744189999E-3</v>
      </c>
      <c r="G5" s="2" t="s">
        <v>32</v>
      </c>
      <c r="H5" t="s">
        <v>50</v>
      </c>
      <c r="I5" s="18" t="s">
        <v>208</v>
      </c>
      <c r="J5" s="18" t="s">
        <v>208</v>
      </c>
      <c r="K5" s="5" t="s">
        <v>0</v>
      </c>
      <c r="L5" s="23" t="s">
        <v>80</v>
      </c>
    </row>
    <row r="6" spans="1:12" x14ac:dyDescent="0.3">
      <c r="A6" s="4">
        <v>1.6</v>
      </c>
      <c r="B6" s="23">
        <v>3.0424644947052002</v>
      </c>
      <c r="C6" s="28" t="str">
        <f t="shared" ref="C6:C26" si="0">IF(B6&lt;1.4,"HE",IF(AND(B6&gt;1.4,B6&lt;2.2),"ME","NE"))</f>
        <v>NE</v>
      </c>
      <c r="D6" s="68" t="s">
        <v>20</v>
      </c>
      <c r="E6" s="4">
        <v>2.96326</v>
      </c>
      <c r="F6" s="16">
        <v>1.7886953094548E-3</v>
      </c>
      <c r="G6" s="2" t="s">
        <v>31</v>
      </c>
      <c r="H6" t="s">
        <v>30</v>
      </c>
      <c r="I6" s="18" t="s">
        <v>86</v>
      </c>
      <c r="J6" s="18" t="s">
        <v>86</v>
      </c>
      <c r="K6" s="5" t="s">
        <v>1</v>
      </c>
      <c r="L6" s="23" t="s">
        <v>88</v>
      </c>
    </row>
    <row r="7" spans="1:12" x14ac:dyDescent="0.3">
      <c r="A7" s="4">
        <v>1.7</v>
      </c>
      <c r="B7" s="23">
        <v>1.7247385978698699</v>
      </c>
      <c r="C7" s="58" t="str">
        <f t="shared" si="0"/>
        <v>ME</v>
      </c>
      <c r="D7" s="68" t="s">
        <v>2</v>
      </c>
      <c r="E7" s="4">
        <v>0.79327499999999995</v>
      </c>
      <c r="F7" s="16">
        <v>1.5332363633946001E-3</v>
      </c>
      <c r="G7" s="2" t="s">
        <v>34</v>
      </c>
      <c r="H7" t="s">
        <v>30</v>
      </c>
      <c r="I7" s="18" t="s">
        <v>208</v>
      </c>
      <c r="J7" s="18" t="s">
        <v>86</v>
      </c>
      <c r="K7" s="5" t="s">
        <v>1</v>
      </c>
      <c r="L7" s="23" t="s">
        <v>80</v>
      </c>
    </row>
    <row r="8" spans="1:12" x14ac:dyDescent="0.3">
      <c r="A8" s="29"/>
      <c r="B8" s="35" t="s">
        <v>50</v>
      </c>
      <c r="C8" s="34" t="s">
        <v>208</v>
      </c>
      <c r="D8" s="68" t="s">
        <v>39</v>
      </c>
      <c r="E8" s="29">
        <v>0.230849</v>
      </c>
      <c r="F8" s="30">
        <v>1.7566224084452901E-2</v>
      </c>
      <c r="G8" s="35" t="s">
        <v>50</v>
      </c>
      <c r="H8" t="s">
        <v>50</v>
      </c>
      <c r="I8" s="18" t="s">
        <v>208</v>
      </c>
      <c r="J8" s="18" t="s">
        <v>208</v>
      </c>
      <c r="K8" s="32" t="s">
        <v>5</v>
      </c>
      <c r="L8" s="35" t="s">
        <v>50</v>
      </c>
    </row>
    <row r="9" spans="1:12" x14ac:dyDescent="0.3">
      <c r="A9" s="4">
        <v>1.1000000000000001</v>
      </c>
      <c r="B9" s="23">
        <v>1.9400000572204601</v>
      </c>
      <c r="C9" s="58" t="str">
        <f t="shared" si="0"/>
        <v>ME</v>
      </c>
      <c r="D9" s="68" t="s">
        <v>21</v>
      </c>
      <c r="E9" s="4">
        <v>0.45486399999999999</v>
      </c>
      <c r="F9" s="16">
        <v>3.5801112972605998E-3</v>
      </c>
      <c r="G9" s="2" t="s">
        <v>32</v>
      </c>
      <c r="H9" t="s">
        <v>31</v>
      </c>
      <c r="I9" s="18" t="s">
        <v>86</v>
      </c>
      <c r="J9" s="18" t="s">
        <v>86</v>
      </c>
      <c r="K9" s="5" t="s">
        <v>1</v>
      </c>
      <c r="L9" s="23" t="s">
        <v>80</v>
      </c>
    </row>
    <row r="10" spans="1:12" x14ac:dyDescent="0.3">
      <c r="A10" s="29"/>
      <c r="B10" s="35" t="s">
        <v>50</v>
      </c>
      <c r="C10" s="34" t="s">
        <v>208</v>
      </c>
      <c r="D10" s="68" t="s">
        <v>40</v>
      </c>
      <c r="E10" s="29">
        <v>0.41472300000000001</v>
      </c>
      <c r="F10" s="30">
        <v>1.32066748562444E-2</v>
      </c>
      <c r="G10" s="35" t="s">
        <v>50</v>
      </c>
      <c r="H10" t="s">
        <v>50</v>
      </c>
      <c r="I10" s="18" t="s">
        <v>208</v>
      </c>
      <c r="J10" s="18" t="s">
        <v>208</v>
      </c>
      <c r="K10" s="32" t="s">
        <v>5</v>
      </c>
      <c r="L10" s="34" t="s">
        <v>93</v>
      </c>
    </row>
    <row r="11" spans="1:12" x14ac:dyDescent="0.3">
      <c r="A11" s="4">
        <v>1.8</v>
      </c>
      <c r="B11" s="23">
        <v>1.27729976177216</v>
      </c>
      <c r="C11" s="59" t="str">
        <f t="shared" si="0"/>
        <v>HE</v>
      </c>
      <c r="D11" s="68" t="s">
        <v>22</v>
      </c>
      <c r="E11" s="4">
        <v>0.54547500000000004</v>
      </c>
      <c r="F11" s="16">
        <v>5.0026505353704996E-3</v>
      </c>
      <c r="G11" s="2" t="s">
        <v>32</v>
      </c>
      <c r="H11" t="s">
        <v>206</v>
      </c>
      <c r="I11" s="18" t="s">
        <v>208</v>
      </c>
      <c r="J11" s="18" t="s">
        <v>86</v>
      </c>
      <c r="K11" s="5" t="s">
        <v>3</v>
      </c>
      <c r="L11" s="23" t="s">
        <v>89</v>
      </c>
    </row>
    <row r="12" spans="1:12" x14ac:dyDescent="0.3">
      <c r="A12" s="4"/>
      <c r="B12" s="7" t="s">
        <v>50</v>
      </c>
      <c r="C12" s="28" t="str">
        <f t="shared" si="0"/>
        <v>NE</v>
      </c>
      <c r="D12" s="68" t="s">
        <v>41</v>
      </c>
      <c r="E12" s="4">
        <v>2.8751700000000002</v>
      </c>
      <c r="F12" s="16">
        <v>1.8162245521840001E-3</v>
      </c>
      <c r="G12" s="7" t="s">
        <v>50</v>
      </c>
      <c r="H12" t="s">
        <v>30</v>
      </c>
      <c r="I12" s="18" t="s">
        <v>86</v>
      </c>
      <c r="J12" s="18" t="s">
        <v>86</v>
      </c>
      <c r="K12" s="5" t="s">
        <v>45</v>
      </c>
      <c r="L12" s="23"/>
    </row>
    <row r="13" spans="1:12" x14ac:dyDescent="0.3">
      <c r="A13" s="4">
        <v>1.8</v>
      </c>
      <c r="B13" s="23">
        <v>5.9250302314758301</v>
      </c>
      <c r="C13" s="28" t="str">
        <f t="shared" si="0"/>
        <v>NE</v>
      </c>
      <c r="D13" s="68" t="s">
        <v>23</v>
      </c>
      <c r="E13" s="4">
        <v>7.1204900000000002</v>
      </c>
      <c r="F13" s="16">
        <v>2.5397428065815002E-3</v>
      </c>
      <c r="G13" s="2" t="s">
        <v>33</v>
      </c>
      <c r="H13" t="s">
        <v>30</v>
      </c>
      <c r="I13" s="18" t="s">
        <v>86</v>
      </c>
      <c r="J13" s="18" t="s">
        <v>86</v>
      </c>
      <c r="K13" s="5" t="s">
        <v>1</v>
      </c>
      <c r="L13" s="23" t="s">
        <v>96</v>
      </c>
    </row>
    <row r="14" spans="1:12" x14ac:dyDescent="0.3">
      <c r="A14" s="4">
        <v>1.6</v>
      </c>
      <c r="B14" s="23">
        <v>8.5616436004638707</v>
      </c>
      <c r="C14" s="28" t="str">
        <f t="shared" si="0"/>
        <v>NE</v>
      </c>
      <c r="D14" s="68" t="s">
        <v>4</v>
      </c>
      <c r="E14" s="4">
        <v>2.17415</v>
      </c>
      <c r="F14" s="16">
        <v>3.2202596484366E-3</v>
      </c>
      <c r="G14" s="2" t="s">
        <v>206</v>
      </c>
      <c r="H14" t="s">
        <v>31</v>
      </c>
      <c r="I14" s="18" t="s">
        <v>86</v>
      </c>
      <c r="J14" s="18" t="s">
        <v>208</v>
      </c>
      <c r="K14" s="5" t="s">
        <v>1</v>
      </c>
      <c r="L14" s="23" t="s">
        <v>89</v>
      </c>
    </row>
    <row r="15" spans="1:12" x14ac:dyDescent="0.3">
      <c r="A15" s="4">
        <v>1.6</v>
      </c>
      <c r="B15" s="23">
        <v>3.7223167419433598</v>
      </c>
      <c r="C15" s="28" t="str">
        <f t="shared" si="0"/>
        <v>NE</v>
      </c>
      <c r="D15" s="68" t="s">
        <v>16</v>
      </c>
      <c r="E15" s="4">
        <v>1.8440000000000001</v>
      </c>
      <c r="F15" s="16">
        <v>3.2846115674992999E-3</v>
      </c>
      <c r="G15" s="2" t="s">
        <v>206</v>
      </c>
      <c r="H15" t="s">
        <v>34</v>
      </c>
      <c r="I15" s="18" t="s">
        <v>208</v>
      </c>
      <c r="J15" s="18" t="s">
        <v>86</v>
      </c>
      <c r="K15" s="5" t="s">
        <v>3</v>
      </c>
      <c r="L15" s="23" t="s">
        <v>89</v>
      </c>
    </row>
    <row r="16" spans="1:12" x14ac:dyDescent="0.3">
      <c r="A16" s="4">
        <v>1</v>
      </c>
      <c r="B16" s="23">
        <v>1.126953125</v>
      </c>
      <c r="C16" s="59" t="str">
        <f t="shared" si="0"/>
        <v>HE</v>
      </c>
      <c r="D16" s="68" t="s">
        <v>17</v>
      </c>
      <c r="E16" s="4">
        <v>0.71269399999999994</v>
      </c>
      <c r="F16" s="16">
        <v>3.8802226158114001E-3</v>
      </c>
      <c r="G16" s="2" t="s">
        <v>35</v>
      </c>
      <c r="H16" t="s">
        <v>35</v>
      </c>
      <c r="I16" s="18" t="s">
        <v>208</v>
      </c>
      <c r="J16" s="18" t="s">
        <v>208</v>
      </c>
      <c r="K16" s="5" t="s">
        <v>5</v>
      </c>
      <c r="L16" s="23" t="s">
        <v>80</v>
      </c>
    </row>
    <row r="17" spans="1:14" x14ac:dyDescent="0.3">
      <c r="A17" s="4">
        <v>1.4</v>
      </c>
      <c r="B17" s="23">
        <v>5.3740777969360396</v>
      </c>
      <c r="C17" s="28" t="str">
        <f t="shared" si="0"/>
        <v>NE</v>
      </c>
      <c r="D17" s="68" t="s">
        <v>18</v>
      </c>
      <c r="E17" s="4">
        <v>2.6302300000000001</v>
      </c>
      <c r="F17" s="16">
        <v>5.1159406074247999E-3</v>
      </c>
      <c r="G17" s="2" t="s">
        <v>206</v>
      </c>
      <c r="H17" t="s">
        <v>32</v>
      </c>
      <c r="I17" s="18" t="s">
        <v>208</v>
      </c>
      <c r="J17" s="18" t="s">
        <v>86</v>
      </c>
      <c r="K17" s="5" t="s">
        <v>1</v>
      </c>
      <c r="L17" s="23" t="s">
        <v>89</v>
      </c>
    </row>
    <row r="18" spans="1:14" x14ac:dyDescent="0.3">
      <c r="A18" s="4">
        <v>2.1</v>
      </c>
      <c r="B18" s="23">
        <v>1.24435579776764</v>
      </c>
      <c r="C18" s="59" t="str">
        <f t="shared" si="0"/>
        <v>HE</v>
      </c>
      <c r="D18" s="68" t="s">
        <v>9</v>
      </c>
      <c r="E18" s="4">
        <v>2.46333</v>
      </c>
      <c r="F18" s="16">
        <v>5.4570025417987004E-3</v>
      </c>
      <c r="G18" s="2" t="s">
        <v>35</v>
      </c>
      <c r="H18" t="s">
        <v>32</v>
      </c>
      <c r="I18" s="18" t="s">
        <v>86</v>
      </c>
      <c r="J18" s="18" t="s">
        <v>208</v>
      </c>
      <c r="K18" s="5" t="s">
        <v>1</v>
      </c>
      <c r="L18" s="23" t="s">
        <v>89</v>
      </c>
    </row>
    <row r="19" spans="1:14" x14ac:dyDescent="0.3">
      <c r="A19" s="29">
        <v>1</v>
      </c>
      <c r="B19" s="34">
        <v>1.0976864099502599</v>
      </c>
      <c r="C19" s="34" t="str">
        <f t="shared" si="0"/>
        <v>HE</v>
      </c>
      <c r="D19" s="68" t="s">
        <v>10</v>
      </c>
      <c r="E19" s="29">
        <v>0.40871300000000005</v>
      </c>
      <c r="F19" s="30">
        <v>6.3506202510991002E-3</v>
      </c>
      <c r="G19" s="31" t="s">
        <v>32</v>
      </c>
      <c r="H19" t="s">
        <v>50</v>
      </c>
      <c r="I19" s="18" t="s">
        <v>208</v>
      </c>
      <c r="J19" s="18" t="s">
        <v>208</v>
      </c>
      <c r="K19" s="32" t="s">
        <v>5</v>
      </c>
      <c r="L19" s="34" t="s">
        <v>93</v>
      </c>
    </row>
    <row r="20" spans="1:14" x14ac:dyDescent="0.3">
      <c r="A20" s="29">
        <v>1</v>
      </c>
      <c r="B20" s="34">
        <v>1.20100498199463</v>
      </c>
      <c r="C20" s="34" t="str">
        <f t="shared" si="0"/>
        <v>HE</v>
      </c>
      <c r="D20" s="68" t="s">
        <v>11</v>
      </c>
      <c r="E20" s="29">
        <v>0.74945399999999995</v>
      </c>
      <c r="F20" s="30">
        <v>1.67200172246228E-2</v>
      </c>
      <c r="G20" s="31" t="s">
        <v>30</v>
      </c>
      <c r="H20" t="s">
        <v>50</v>
      </c>
      <c r="I20" s="18" t="s">
        <v>208</v>
      </c>
      <c r="J20" s="18" t="s">
        <v>208</v>
      </c>
      <c r="K20" s="32" t="s">
        <v>5</v>
      </c>
      <c r="L20" s="34" t="s">
        <v>93</v>
      </c>
    </row>
    <row r="21" spans="1:14" x14ac:dyDescent="0.3">
      <c r="A21" s="4">
        <v>2</v>
      </c>
      <c r="B21" s="23">
        <v>1.2133550643920901</v>
      </c>
      <c r="C21" s="59" t="str">
        <f t="shared" si="0"/>
        <v>HE</v>
      </c>
      <c r="D21" s="68" t="s">
        <v>6</v>
      </c>
      <c r="E21" s="4">
        <v>0.63832100000000003</v>
      </c>
      <c r="F21" s="16">
        <v>9.7990091663568996E-3</v>
      </c>
      <c r="G21" s="2" t="s">
        <v>30</v>
      </c>
      <c r="H21" t="s">
        <v>206</v>
      </c>
      <c r="I21" s="18" t="s">
        <v>208</v>
      </c>
      <c r="J21" s="18" t="s">
        <v>208</v>
      </c>
      <c r="K21" s="5" t="s">
        <v>1</v>
      </c>
      <c r="L21" s="23" t="s">
        <v>88</v>
      </c>
    </row>
    <row r="22" spans="1:14" x14ac:dyDescent="0.3">
      <c r="A22" s="4">
        <v>2.8</v>
      </c>
      <c r="B22" s="23">
        <v>1.28837883472443</v>
      </c>
      <c r="C22" s="59" t="str">
        <f t="shared" si="0"/>
        <v>HE</v>
      </c>
      <c r="D22" s="68" t="s">
        <v>12</v>
      </c>
      <c r="E22" s="4">
        <v>0.46207500000000001</v>
      </c>
      <c r="F22" s="16">
        <v>1.00168588195909E-2</v>
      </c>
      <c r="G22" s="2" t="s">
        <v>31</v>
      </c>
      <c r="H22" t="s">
        <v>50</v>
      </c>
      <c r="I22" s="18" t="s">
        <v>208</v>
      </c>
      <c r="J22" s="18" t="s">
        <v>208</v>
      </c>
      <c r="K22" s="5" t="s">
        <v>0</v>
      </c>
      <c r="L22" s="23" t="s">
        <v>80</v>
      </c>
    </row>
    <row r="23" spans="1:14" x14ac:dyDescent="0.3">
      <c r="A23" s="4">
        <v>1</v>
      </c>
      <c r="B23" s="23">
        <v>1.4666666984558101</v>
      </c>
      <c r="C23" s="58" t="str">
        <f t="shared" si="0"/>
        <v>ME</v>
      </c>
      <c r="D23" s="68" t="s">
        <v>13</v>
      </c>
      <c r="E23" s="4">
        <v>1.1261700000000001</v>
      </c>
      <c r="F23" s="16">
        <v>1.7536097311226798E-2</v>
      </c>
      <c r="G23" s="2" t="s">
        <v>30</v>
      </c>
      <c r="H23" t="s">
        <v>50</v>
      </c>
      <c r="I23" s="18" t="s">
        <v>208</v>
      </c>
      <c r="J23" s="18" t="s">
        <v>208</v>
      </c>
      <c r="K23" s="5" t="s">
        <v>5</v>
      </c>
      <c r="L23" s="23" t="s">
        <v>88</v>
      </c>
    </row>
    <row r="24" spans="1:14" x14ac:dyDescent="0.3">
      <c r="A24" s="4">
        <v>1.2</v>
      </c>
      <c r="B24" s="23">
        <v>2.7868852615356401</v>
      </c>
      <c r="C24" s="28" t="str">
        <f t="shared" si="0"/>
        <v>NE</v>
      </c>
      <c r="D24" s="68" t="s">
        <v>14</v>
      </c>
      <c r="E24" s="4">
        <v>0.70263599999999993</v>
      </c>
      <c r="F24" s="16">
        <v>1.0608506334761099E-2</v>
      </c>
      <c r="G24" s="2" t="s">
        <v>35</v>
      </c>
      <c r="H24" t="s">
        <v>35</v>
      </c>
      <c r="I24" s="18" t="s">
        <v>208</v>
      </c>
      <c r="J24" s="18" t="s">
        <v>208</v>
      </c>
      <c r="K24" s="5" t="s">
        <v>1</v>
      </c>
      <c r="L24" s="23" t="s">
        <v>88</v>
      </c>
    </row>
    <row r="25" spans="1:14" x14ac:dyDescent="0.3">
      <c r="A25" s="4">
        <v>1.7</v>
      </c>
      <c r="B25" s="23">
        <v>2.2178218364715598</v>
      </c>
      <c r="C25" s="28" t="str">
        <f t="shared" si="0"/>
        <v>NE</v>
      </c>
      <c r="D25" s="68" t="s">
        <v>15</v>
      </c>
      <c r="E25" s="4">
        <v>1.08274</v>
      </c>
      <c r="F25" s="16">
        <v>1.5566913048002E-2</v>
      </c>
      <c r="G25" s="2" t="s">
        <v>32</v>
      </c>
      <c r="H25" t="s">
        <v>50</v>
      </c>
      <c r="I25" s="18" t="s">
        <v>208</v>
      </c>
      <c r="J25" s="18" t="s">
        <v>208</v>
      </c>
      <c r="K25" s="5" t="s">
        <v>5</v>
      </c>
      <c r="L25" s="23" t="s">
        <v>88</v>
      </c>
    </row>
    <row r="26" spans="1:14" ht="15" thickBot="1" x14ac:dyDescent="0.35">
      <c r="A26" s="4">
        <v>1.5</v>
      </c>
      <c r="B26" s="23">
        <v>1.2689805030822801</v>
      </c>
      <c r="C26" s="59" t="str">
        <f t="shared" si="0"/>
        <v>HE</v>
      </c>
      <c r="D26" s="69" t="s">
        <v>7</v>
      </c>
      <c r="E26" s="70">
        <v>0.77419199999999999</v>
      </c>
      <c r="F26" s="71">
        <v>1.53101121021577E-2</v>
      </c>
      <c r="G26" s="72" t="s">
        <v>32</v>
      </c>
      <c r="H26" t="s">
        <v>50</v>
      </c>
      <c r="I26" s="18" t="s">
        <v>208</v>
      </c>
      <c r="J26" s="18" t="s">
        <v>208</v>
      </c>
      <c r="K26" s="5" t="s">
        <v>1</v>
      </c>
      <c r="L26" s="23" t="s">
        <v>93</v>
      </c>
    </row>
    <row r="29" spans="1:14" x14ac:dyDescent="0.3">
      <c r="A29" t="s">
        <v>230</v>
      </c>
    </row>
    <row r="30" spans="1:14" ht="43.2" x14ac:dyDescent="0.3">
      <c r="A30" s="20" t="s">
        <v>185</v>
      </c>
      <c r="B30" s="20" t="s">
        <v>100</v>
      </c>
      <c r="C30" s="20" t="s">
        <v>186</v>
      </c>
      <c r="D30" s="67" t="s">
        <v>8</v>
      </c>
      <c r="E30" s="20" t="s">
        <v>52</v>
      </c>
      <c r="F30" s="20" t="s">
        <v>54</v>
      </c>
      <c r="G30" s="20" t="s">
        <v>51</v>
      </c>
      <c r="H30" s="26" t="s">
        <v>207</v>
      </c>
      <c r="I30" s="13" t="s">
        <v>209</v>
      </c>
      <c r="J30" s="13" t="s">
        <v>210</v>
      </c>
      <c r="K30" s="20" t="s">
        <v>49</v>
      </c>
      <c r="L30" s="20" t="s">
        <v>70</v>
      </c>
      <c r="N30" s="81" t="s">
        <v>233</v>
      </c>
    </row>
    <row r="31" spans="1:14" x14ac:dyDescent="0.3">
      <c r="A31" s="4">
        <v>1.4</v>
      </c>
      <c r="B31" s="23">
        <v>1.5772358179092401</v>
      </c>
      <c r="C31" s="58" t="str">
        <f>IF(B31&lt;1.4,"HE",IF(AND(B31&gt;1.4,B31&lt;2.2),"ME","NE"))</f>
        <v>ME</v>
      </c>
      <c r="D31" s="68" t="s">
        <v>19</v>
      </c>
      <c r="E31" s="4">
        <v>2.7600700000000002</v>
      </c>
      <c r="F31" s="16">
        <v>2.4154879744189999E-3</v>
      </c>
      <c r="G31" s="2" t="s">
        <v>32</v>
      </c>
      <c r="H31" t="s">
        <v>50</v>
      </c>
      <c r="I31" s="18" t="s">
        <v>208</v>
      </c>
      <c r="J31" s="18" t="s">
        <v>208</v>
      </c>
      <c r="K31" s="5" t="s">
        <v>0</v>
      </c>
      <c r="L31" s="23" t="s">
        <v>80</v>
      </c>
    </row>
    <row r="32" spans="1:14" x14ac:dyDescent="0.3">
      <c r="A32" s="4">
        <v>1.6</v>
      </c>
      <c r="B32" s="58">
        <v>3.0424644947052002</v>
      </c>
      <c r="C32" s="28" t="str">
        <f t="shared" ref="C32:C33" si="1">IF(B32&lt;1.4,"HE",IF(AND(B32&gt;1.4,B32&lt;2.2),"ME","NE"))</f>
        <v>NE</v>
      </c>
      <c r="D32" s="68" t="s">
        <v>20</v>
      </c>
      <c r="E32" s="4">
        <v>2.96326</v>
      </c>
      <c r="F32" s="16">
        <v>1.7886953094548E-3</v>
      </c>
      <c r="G32" s="2" t="s">
        <v>31</v>
      </c>
      <c r="H32" s="74" t="s">
        <v>30</v>
      </c>
      <c r="I32" s="77" t="s">
        <v>86</v>
      </c>
      <c r="J32" s="77" t="s">
        <v>86</v>
      </c>
      <c r="K32" s="78" t="s">
        <v>1</v>
      </c>
      <c r="L32" s="58" t="s">
        <v>88</v>
      </c>
    </row>
    <row r="33" spans="1:15" x14ac:dyDescent="0.3">
      <c r="A33" s="4">
        <v>1.7</v>
      </c>
      <c r="B33" s="23">
        <v>1.7247385978698699</v>
      </c>
      <c r="C33" s="58" t="str">
        <f t="shared" si="1"/>
        <v>ME</v>
      </c>
      <c r="D33" s="68" t="s">
        <v>2</v>
      </c>
      <c r="E33" s="4">
        <v>0.79327499999999995</v>
      </c>
      <c r="F33" s="16">
        <v>1.5332363633946001E-3</v>
      </c>
      <c r="G33" s="2" t="s">
        <v>34</v>
      </c>
      <c r="H33" t="s">
        <v>30</v>
      </c>
      <c r="I33" s="18" t="s">
        <v>208</v>
      </c>
      <c r="J33" s="18" t="s">
        <v>86</v>
      </c>
      <c r="K33" s="5" t="s">
        <v>1</v>
      </c>
      <c r="L33" s="23" t="s">
        <v>80</v>
      </c>
      <c r="N33" s="81" t="s">
        <v>218</v>
      </c>
    </row>
    <row r="34" spans="1:15" x14ac:dyDescent="0.3">
      <c r="A34" s="29" t="s">
        <v>229</v>
      </c>
      <c r="B34" s="34">
        <v>2.6</v>
      </c>
      <c r="C34" s="58" t="str">
        <f t="shared" ref="C34" si="2">IF(B34&lt;1.4,"HE",IF(AND(B34&gt;1.4,B34&lt;2.2),"ME","NE"))</f>
        <v>NE</v>
      </c>
      <c r="D34" s="68" t="s">
        <v>21</v>
      </c>
      <c r="E34" s="4">
        <v>0.45486399999999999</v>
      </c>
      <c r="F34" s="16">
        <v>3.5801112972605998E-3</v>
      </c>
      <c r="G34" s="2" t="s">
        <v>32</v>
      </c>
      <c r="H34" s="74" t="s">
        <v>31</v>
      </c>
      <c r="I34" s="77" t="s">
        <v>86</v>
      </c>
      <c r="J34" s="77" t="s">
        <v>86</v>
      </c>
      <c r="K34" s="78" t="s">
        <v>1</v>
      </c>
      <c r="L34" s="58" t="s">
        <v>80</v>
      </c>
      <c r="O34" t="s">
        <v>228</v>
      </c>
    </row>
    <row r="35" spans="1:15" x14ac:dyDescent="0.3">
      <c r="A35" s="80">
        <v>1.8</v>
      </c>
      <c r="B35" s="23">
        <v>1.27729976177216</v>
      </c>
      <c r="C35" s="59" t="str">
        <f t="shared" ref="C35:C48" si="3">IF(B35&lt;1.4,"HE",IF(AND(B35&gt;1.4,B35&lt;2.2),"ME","NE"))</f>
        <v>HE</v>
      </c>
      <c r="D35" s="68" t="s">
        <v>22</v>
      </c>
      <c r="E35" s="4">
        <v>0.54547500000000004</v>
      </c>
      <c r="F35" s="16">
        <v>5.0026505353704996E-3</v>
      </c>
      <c r="G35" s="2" t="s">
        <v>32</v>
      </c>
      <c r="H35" t="s">
        <v>206</v>
      </c>
      <c r="I35" s="18" t="s">
        <v>208</v>
      </c>
      <c r="J35" s="18" t="s">
        <v>86</v>
      </c>
      <c r="K35" s="5" t="s">
        <v>3</v>
      </c>
      <c r="L35" s="23" t="s">
        <v>89</v>
      </c>
      <c r="M35" s="83"/>
      <c r="O35" t="s">
        <v>215</v>
      </c>
    </row>
    <row r="36" spans="1:15" x14ac:dyDescent="0.3">
      <c r="A36" s="75">
        <v>1.3</v>
      </c>
      <c r="B36" s="84">
        <v>12</v>
      </c>
      <c r="C36" s="28" t="str">
        <f t="shared" si="3"/>
        <v>NE</v>
      </c>
      <c r="D36" s="68" t="s">
        <v>41</v>
      </c>
      <c r="E36" s="4">
        <v>2.8751700000000002</v>
      </c>
      <c r="F36" s="16">
        <v>1.8162245521840001E-3</v>
      </c>
      <c r="G36" s="7" t="s">
        <v>50</v>
      </c>
      <c r="H36" s="74" t="s">
        <v>30</v>
      </c>
      <c r="I36" s="77" t="s">
        <v>86</v>
      </c>
      <c r="J36" s="77" t="s">
        <v>86</v>
      </c>
      <c r="K36" s="78" t="s">
        <v>45</v>
      </c>
      <c r="L36" s="85" t="s">
        <v>96</v>
      </c>
    </row>
    <row r="37" spans="1:15" x14ac:dyDescent="0.3">
      <c r="A37" s="4">
        <v>1.8</v>
      </c>
      <c r="B37" s="58">
        <v>5.9250302314758301</v>
      </c>
      <c r="C37" s="28" t="str">
        <f t="shared" si="3"/>
        <v>NE</v>
      </c>
      <c r="D37" s="68" t="s">
        <v>23</v>
      </c>
      <c r="E37" s="4">
        <v>7.1204900000000002</v>
      </c>
      <c r="F37" s="16">
        <v>2.5397428065815002E-3</v>
      </c>
      <c r="G37" s="2" t="s">
        <v>33</v>
      </c>
      <c r="H37" s="74" t="s">
        <v>30</v>
      </c>
      <c r="I37" s="77" t="s">
        <v>86</v>
      </c>
      <c r="J37" s="77" t="s">
        <v>86</v>
      </c>
      <c r="K37" s="78" t="s">
        <v>1</v>
      </c>
      <c r="L37" s="58" t="s">
        <v>96</v>
      </c>
    </row>
    <row r="38" spans="1:15" x14ac:dyDescent="0.3">
      <c r="A38" s="4">
        <v>1.6</v>
      </c>
      <c r="B38" s="58">
        <v>8.5616436004638707</v>
      </c>
      <c r="C38" s="28" t="str">
        <f t="shared" si="3"/>
        <v>NE</v>
      </c>
      <c r="D38" s="68" t="s">
        <v>4</v>
      </c>
      <c r="E38" s="4">
        <v>2.17415</v>
      </c>
      <c r="F38" s="16">
        <v>3.2202596484366E-3</v>
      </c>
      <c r="G38" s="2" t="s">
        <v>206</v>
      </c>
      <c r="H38" s="74" t="s">
        <v>31</v>
      </c>
      <c r="I38" s="77" t="s">
        <v>86</v>
      </c>
      <c r="J38" s="77" t="s">
        <v>208</v>
      </c>
      <c r="K38" s="78" t="s">
        <v>1</v>
      </c>
      <c r="L38" s="58" t="s">
        <v>89</v>
      </c>
      <c r="N38" s="83" t="s">
        <v>234</v>
      </c>
    </row>
    <row r="39" spans="1:15" x14ac:dyDescent="0.3">
      <c r="A39" s="4">
        <v>1.6</v>
      </c>
      <c r="B39" s="23">
        <v>3.7223167419433598</v>
      </c>
      <c r="C39" s="28" t="str">
        <f t="shared" si="3"/>
        <v>NE</v>
      </c>
      <c r="D39" s="68" t="s">
        <v>16</v>
      </c>
      <c r="E39" s="4">
        <v>1.8440000000000001</v>
      </c>
      <c r="F39" s="16">
        <v>3.2846115674992999E-3</v>
      </c>
      <c r="G39" s="2" t="s">
        <v>206</v>
      </c>
      <c r="H39" t="s">
        <v>236</v>
      </c>
      <c r="I39" s="18" t="s">
        <v>208</v>
      </c>
      <c r="J39" s="18" t="s">
        <v>86</v>
      </c>
      <c r="K39" s="5" t="s">
        <v>3</v>
      </c>
      <c r="L39" s="23" t="s">
        <v>89</v>
      </c>
      <c r="N39" s="83" t="s">
        <v>235</v>
      </c>
    </row>
    <row r="40" spans="1:15" x14ac:dyDescent="0.3">
      <c r="A40" s="4">
        <v>1</v>
      </c>
      <c r="B40" s="23">
        <v>1.126953125</v>
      </c>
      <c r="C40" s="59" t="str">
        <f t="shared" si="3"/>
        <v>HE</v>
      </c>
      <c r="D40" s="68" t="s">
        <v>17</v>
      </c>
      <c r="E40" s="4">
        <v>0.71269399999999994</v>
      </c>
      <c r="F40" s="16">
        <v>3.8802226158114001E-3</v>
      </c>
      <c r="G40" s="2" t="s">
        <v>35</v>
      </c>
      <c r="H40" t="s">
        <v>35</v>
      </c>
      <c r="I40" s="18" t="s">
        <v>208</v>
      </c>
      <c r="J40" s="18" t="s">
        <v>208</v>
      </c>
      <c r="K40" s="5" t="s">
        <v>5</v>
      </c>
      <c r="L40" s="59" t="s">
        <v>80</v>
      </c>
      <c r="M40" t="s">
        <v>217</v>
      </c>
    </row>
    <row r="41" spans="1:15" x14ac:dyDescent="0.3">
      <c r="A41" s="4">
        <v>1.4</v>
      </c>
      <c r="B41" s="23">
        <v>5.3740777969360396</v>
      </c>
      <c r="C41" s="28" t="str">
        <f t="shared" si="3"/>
        <v>NE</v>
      </c>
      <c r="D41" s="68" t="s">
        <v>18</v>
      </c>
      <c r="E41" s="4">
        <v>2.6302300000000001</v>
      </c>
      <c r="F41" s="16">
        <v>5.1159406074247999E-3</v>
      </c>
      <c r="G41" s="2" t="s">
        <v>206</v>
      </c>
      <c r="H41" t="s">
        <v>32</v>
      </c>
      <c r="I41" s="18" t="s">
        <v>208</v>
      </c>
      <c r="J41" s="18" t="s">
        <v>86</v>
      </c>
      <c r="K41" s="5" t="s">
        <v>1</v>
      </c>
      <c r="L41" s="23" t="s">
        <v>89</v>
      </c>
      <c r="N41" s="81" t="s">
        <v>216</v>
      </c>
    </row>
    <row r="42" spans="1:15" x14ac:dyDescent="0.3">
      <c r="A42" s="79">
        <v>2.1</v>
      </c>
      <c r="B42" s="23">
        <v>1.24435579776764</v>
      </c>
      <c r="C42" s="59" t="str">
        <f t="shared" si="3"/>
        <v>HE</v>
      </c>
      <c r="D42" s="68" t="s">
        <v>9</v>
      </c>
      <c r="E42" s="4">
        <v>2.46333</v>
      </c>
      <c r="F42" s="16">
        <v>5.4570025417987004E-3</v>
      </c>
      <c r="G42" s="2" t="s">
        <v>35</v>
      </c>
      <c r="H42" s="74" t="s">
        <v>32</v>
      </c>
      <c r="I42" s="77" t="s">
        <v>86</v>
      </c>
      <c r="J42" s="77" t="s">
        <v>208</v>
      </c>
      <c r="K42" s="78" t="s">
        <v>1</v>
      </c>
      <c r="L42" s="58" t="s">
        <v>89</v>
      </c>
      <c r="M42" t="s">
        <v>215</v>
      </c>
    </row>
    <row r="43" spans="1:15" x14ac:dyDescent="0.3">
      <c r="A43" s="79">
        <v>2</v>
      </c>
      <c r="B43" s="23">
        <v>1.2133550643920901</v>
      </c>
      <c r="C43" s="59" t="str">
        <f t="shared" si="3"/>
        <v>HE</v>
      </c>
      <c r="D43" s="68" t="s">
        <v>6</v>
      </c>
      <c r="E43" s="4">
        <v>0.63832100000000003</v>
      </c>
      <c r="F43" s="16">
        <v>9.7990091663568996E-3</v>
      </c>
      <c r="G43" s="2" t="s">
        <v>30</v>
      </c>
      <c r="H43" t="s">
        <v>206</v>
      </c>
      <c r="I43" s="18" t="s">
        <v>208</v>
      </c>
      <c r="J43" s="18" t="s">
        <v>208</v>
      </c>
      <c r="K43" s="5" t="s">
        <v>1</v>
      </c>
      <c r="L43" s="23" t="s">
        <v>88</v>
      </c>
      <c r="M43" t="s">
        <v>217</v>
      </c>
    </row>
    <row r="44" spans="1:15" x14ac:dyDescent="0.3">
      <c r="A44" s="79">
        <v>2.8</v>
      </c>
      <c r="B44" s="23">
        <v>1.28837883472443</v>
      </c>
      <c r="C44" s="59" t="str">
        <f t="shared" si="3"/>
        <v>HE</v>
      </c>
      <c r="D44" s="68" t="s">
        <v>12</v>
      </c>
      <c r="E44" s="4">
        <v>0.46207500000000001</v>
      </c>
      <c r="F44" s="16">
        <v>1.00168588195909E-2</v>
      </c>
      <c r="G44" s="2" t="s">
        <v>31</v>
      </c>
      <c r="H44" t="s">
        <v>50</v>
      </c>
      <c r="I44" s="18" t="s">
        <v>208</v>
      </c>
      <c r="J44" s="18" t="s">
        <v>208</v>
      </c>
      <c r="K44" s="5" t="s">
        <v>0</v>
      </c>
      <c r="L44" s="59" t="s">
        <v>80</v>
      </c>
      <c r="M44" t="s">
        <v>219</v>
      </c>
    </row>
    <row r="45" spans="1:15" x14ac:dyDescent="0.3">
      <c r="A45" s="4">
        <v>1</v>
      </c>
      <c r="B45" s="23">
        <v>1.4666666984558101</v>
      </c>
      <c r="C45" s="58" t="str">
        <f t="shared" si="3"/>
        <v>ME</v>
      </c>
      <c r="D45" s="68" t="s">
        <v>13</v>
      </c>
      <c r="E45" s="4">
        <v>1.1261700000000001</v>
      </c>
      <c r="F45" s="16">
        <v>1.7536097311226798E-2</v>
      </c>
      <c r="G45" s="2" t="s">
        <v>30</v>
      </c>
      <c r="H45" t="s">
        <v>50</v>
      </c>
      <c r="I45" s="18" t="s">
        <v>208</v>
      </c>
      <c r="J45" s="18" t="s">
        <v>208</v>
      </c>
      <c r="K45" s="5" t="s">
        <v>5</v>
      </c>
      <c r="L45" s="23" t="s">
        <v>88</v>
      </c>
      <c r="M45" t="s">
        <v>220</v>
      </c>
    </row>
    <row r="46" spans="1:15" x14ac:dyDescent="0.3">
      <c r="A46" s="4">
        <v>1.2</v>
      </c>
      <c r="B46" s="23">
        <v>2.7868852615356401</v>
      </c>
      <c r="C46" s="28" t="str">
        <f t="shared" si="3"/>
        <v>NE</v>
      </c>
      <c r="D46" s="68" t="s">
        <v>14</v>
      </c>
      <c r="E46" s="4">
        <v>0.70263599999999993</v>
      </c>
      <c r="F46" s="16">
        <v>1.0608506334761099E-2</v>
      </c>
      <c r="G46" s="2" t="s">
        <v>35</v>
      </c>
      <c r="H46" t="s">
        <v>35</v>
      </c>
      <c r="I46" s="18" t="s">
        <v>208</v>
      </c>
      <c r="J46" s="18" t="s">
        <v>208</v>
      </c>
      <c r="K46" s="5" t="s">
        <v>1</v>
      </c>
      <c r="L46" s="23" t="s">
        <v>88</v>
      </c>
      <c r="M46" t="s">
        <v>220</v>
      </c>
    </row>
    <row r="47" spans="1:15" x14ac:dyDescent="0.3">
      <c r="A47" s="4">
        <v>1.7</v>
      </c>
      <c r="B47" s="23">
        <v>2.2178218364715598</v>
      </c>
      <c r="C47" s="28" t="str">
        <f t="shared" si="3"/>
        <v>NE</v>
      </c>
      <c r="D47" s="68" t="s">
        <v>15</v>
      </c>
      <c r="E47" s="4">
        <v>1.08274</v>
      </c>
      <c r="F47" s="16">
        <v>1.5566913048002E-2</v>
      </c>
      <c r="G47" s="2" t="s">
        <v>32</v>
      </c>
      <c r="H47" t="s">
        <v>50</v>
      </c>
      <c r="I47" s="18" t="s">
        <v>208</v>
      </c>
      <c r="J47" s="18" t="s">
        <v>208</v>
      </c>
      <c r="K47" s="5" t="s">
        <v>5</v>
      </c>
      <c r="L47" s="23" t="s">
        <v>88</v>
      </c>
      <c r="M47" t="s">
        <v>220</v>
      </c>
    </row>
    <row r="48" spans="1:15" ht="15" thickBot="1" x14ac:dyDescent="0.35">
      <c r="A48" s="4">
        <v>1.5</v>
      </c>
      <c r="B48" s="23">
        <v>1.2689805030822801</v>
      </c>
      <c r="C48" s="59" t="str">
        <f t="shared" si="3"/>
        <v>HE</v>
      </c>
      <c r="D48" s="69" t="s">
        <v>7</v>
      </c>
      <c r="E48" s="70">
        <v>0.77419199999999999</v>
      </c>
      <c r="F48" s="71">
        <v>1.53101121021577E-2</v>
      </c>
      <c r="G48" s="72" t="s">
        <v>32</v>
      </c>
      <c r="H48" t="s">
        <v>50</v>
      </c>
      <c r="I48" s="18" t="s">
        <v>208</v>
      </c>
      <c r="J48" s="18" t="s">
        <v>208</v>
      </c>
      <c r="K48" s="5" t="s">
        <v>1</v>
      </c>
      <c r="L48" s="59" t="s">
        <v>93</v>
      </c>
      <c r="M48" t="s">
        <v>217</v>
      </c>
    </row>
    <row r="51" spans="1:19" x14ac:dyDescent="0.3">
      <c r="A51" s="76"/>
      <c r="B51" t="s">
        <v>231</v>
      </c>
      <c r="P51" s="82" t="s">
        <v>221</v>
      </c>
      <c r="Q51" s="82" t="s">
        <v>222</v>
      </c>
      <c r="S51" t="s">
        <v>223</v>
      </c>
    </row>
    <row r="52" spans="1:19" x14ac:dyDescent="0.3">
      <c r="B52" t="s">
        <v>213</v>
      </c>
      <c r="N52" t="s">
        <v>224</v>
      </c>
      <c r="O52">
        <v>127</v>
      </c>
    </row>
    <row r="53" spans="1:19" x14ac:dyDescent="0.3">
      <c r="B53" t="s">
        <v>211</v>
      </c>
      <c r="N53" t="s">
        <v>225</v>
      </c>
      <c r="O53">
        <f>P53*(($O$52)^Q53)</f>
        <v>124.28177503574388</v>
      </c>
      <c r="P53">
        <v>12.84</v>
      </c>
      <c r="Q53">
        <v>0.46860000000000002</v>
      </c>
    </row>
    <row r="54" spans="1:19" x14ac:dyDescent="0.3">
      <c r="B54" t="s">
        <v>214</v>
      </c>
      <c r="N54" t="s">
        <v>226</v>
      </c>
      <c r="O54">
        <f t="shared" ref="O54:O55" si="4">P54*(($O$52)^Q54)</f>
        <v>4.4204187514063555</v>
      </c>
      <c r="P54">
        <v>0.90549999999999997</v>
      </c>
      <c r="Q54">
        <v>0.32729999999999998</v>
      </c>
    </row>
    <row r="55" spans="1:19" x14ac:dyDescent="0.3">
      <c r="B55" t="s">
        <v>232</v>
      </c>
      <c r="N55" t="s">
        <v>227</v>
      </c>
      <c r="O55">
        <f t="shared" si="4"/>
        <v>565.00619548073416</v>
      </c>
      <c r="P55">
        <v>11.195</v>
      </c>
      <c r="Q55">
        <v>0.8095</v>
      </c>
    </row>
    <row r="56" spans="1:19" x14ac:dyDescent="0.3">
      <c r="B56" t="s">
        <v>212</v>
      </c>
    </row>
    <row r="57" spans="1:19" x14ac:dyDescent="0.3">
      <c r="C57">
        <f>1300/110</f>
        <v>11.818181818181818</v>
      </c>
    </row>
  </sheetData>
  <conditionalFormatting sqref="B4">
    <cfRule type="colorScale" priority="2">
      <colorScale>
        <cfvo type="min"/>
        <cfvo type="max"/>
        <color rgb="FFFCFCFF"/>
        <color rgb="FF63BE7B"/>
      </colorScale>
    </cfRule>
  </conditionalFormatting>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Table Data</vt:lpstr>
      <vt:lpstr>table for reach schematic</vt:lpstr>
      <vt:lpstr>Specific Volume Capacity</vt:lpstr>
      <vt:lpstr>SVC Figure</vt:lpstr>
      <vt:lpstr>SSP</vt:lpstr>
      <vt:lpstr>SSP Figure</vt:lpstr>
      <vt:lpstr>additional plots</vt:lpstr>
      <vt:lpstr>klu</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 Matt</dc:creator>
  <cp:lastModifiedBy>Jeremy Matt</cp:lastModifiedBy>
  <dcterms:created xsi:type="dcterms:W3CDTF">2015-06-05T18:17:20Z</dcterms:created>
  <dcterms:modified xsi:type="dcterms:W3CDTF">2023-03-31T15:16:09Z</dcterms:modified>
</cp:coreProperties>
</file>