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3"/>
    <sheet state="visible" name="Appreciation Model" sheetId="2" r:id="rId4"/>
    <sheet state="visible" name="Preservation Model" sheetId="3" r:id="rId5"/>
    <sheet state="visible" name="Alternative Model" sheetId="4" r:id="rId6"/>
    <sheet state="visible" name="Source Data" sheetId="5" r:id="rId7"/>
    <sheet state="visible" name="Workflow" sheetId="6" r:id="rId8"/>
    <sheet state="visible" name="Signals" sheetId="7" r:id="rId9"/>
    <sheet state="visible" name="Portfolios" sheetId="8" r:id="rId10"/>
  </sheets>
  <definedNames/>
  <calcPr/>
</workbook>
</file>

<file path=xl/sharedStrings.xml><?xml version="1.0" encoding="utf-8"?>
<sst xmlns="http://schemas.openxmlformats.org/spreadsheetml/2006/main" count="360" uniqueCount="163">
  <si>
    <t>Appreciation Model</t>
  </si>
  <si>
    <t>Preservation Model</t>
  </si>
  <si>
    <t>NDR ETF Model weighted exactly as weekly model</t>
  </si>
  <si>
    <t>Equity</t>
  </si>
  <si>
    <t>Cash</t>
  </si>
  <si>
    <t>Fixed</t>
  </si>
  <si>
    <t xml:space="preserve">NDR ETF Model with 50% decrease weighting of all NDR ETF Model Equity positions. </t>
  </si>
  <si>
    <t>See Appreciation Workflow...</t>
  </si>
  <si>
    <t>Total:</t>
  </si>
  <si>
    <t>NDR ETF Model with 50% decrease weighting of all NDR ETF Model Fixed Income positions</t>
  </si>
  <si>
    <t>Move percentage from decrease weighting to overweight NDR ETF Model Equity positions. Allocate pro-rata to equity positions.</t>
  </si>
  <si>
    <t>Client Investment Profile:</t>
  </si>
  <si>
    <t>Moderate</t>
  </si>
  <si>
    <t>Portfolio Total:</t>
  </si>
  <si>
    <t>Global Big Mo Tape Composite:</t>
  </si>
  <si>
    <t>US Stock Market Composite:</t>
  </si>
  <si>
    <t>Bond Enhancement Model:</t>
  </si>
  <si>
    <t>Gold Daily Model:</t>
  </si>
  <si>
    <t>Commodity Model:</t>
  </si>
  <si>
    <t>Appreciation:</t>
  </si>
  <si>
    <t>Appreciation Percent:</t>
  </si>
  <si>
    <t>Preservation:</t>
  </si>
  <si>
    <t>Preservation Percent:</t>
  </si>
  <si>
    <t>Alternative:</t>
  </si>
  <si>
    <t>Alternative Percent:</t>
  </si>
  <si>
    <t>Alternative Model</t>
  </si>
  <si>
    <t>Alternative</t>
  </si>
  <si>
    <t>Active Value</t>
  </si>
  <si>
    <t>QLRIX</t>
  </si>
  <si>
    <t>PEDIX</t>
  </si>
  <si>
    <t>SPAIX</t>
  </si>
  <si>
    <t>QSRIX</t>
  </si>
  <si>
    <t>PTCIX</t>
  </si>
  <si>
    <t>PRPFX</t>
  </si>
  <si>
    <t>PRUFX</t>
  </si>
  <si>
    <t>PIGIX</t>
  </si>
  <si>
    <t>BTFIX</t>
  </si>
  <si>
    <t>DFLVX</t>
  </si>
  <si>
    <t>PGOVX</t>
  </si>
  <si>
    <t>LONGX</t>
  </si>
  <si>
    <t>QIRIX</t>
  </si>
  <si>
    <t>DFGBX</t>
  </si>
  <si>
    <t>CPLIX</t>
  </si>
  <si>
    <t>QERIX</t>
  </si>
  <si>
    <t>VSGDX</t>
  </si>
  <si>
    <t>QLEIX</t>
  </si>
  <si>
    <t>AUEIX</t>
  </si>
  <si>
    <t>DFIGX</t>
  </si>
  <si>
    <t>QMNIX</t>
  </si>
  <si>
    <t>Gold</t>
  </si>
  <si>
    <t>Short</t>
  </si>
  <si>
    <t>Long/Short</t>
  </si>
  <si>
    <t>Mkt Neutral</t>
  </si>
  <si>
    <t>Mgd Futures</t>
  </si>
  <si>
    <t>Esoteric</t>
  </si>
  <si>
    <t xml:space="preserve">AQR </t>
  </si>
  <si>
    <t>ANDIX</t>
  </si>
  <si>
    <t>QMHIX</t>
  </si>
  <si>
    <t>QRPIX</t>
  </si>
  <si>
    <t xml:space="preserve">Longboard </t>
  </si>
  <si>
    <t>WAVIX</t>
  </si>
  <si>
    <t>Q3 Asset Mgmt</t>
  </si>
  <si>
    <t xml:space="preserve">SPDR </t>
  </si>
  <si>
    <t>GLD</t>
  </si>
  <si>
    <t xml:space="preserve">Global Big Mo in Bearish allocation mode- 10% Managed Futures (QMHIX &amp; WAVIX) &amp; 10% Gold if on Overweight (GLD).   </t>
  </si>
  <si>
    <t>PTSHX</t>
  </si>
  <si>
    <t>Global Big Mo in Bullish allocation mode- 10% Long/Short (LONGX ) &amp; 10% Q3 Asset Mgmt (TBA).</t>
  </si>
  <si>
    <t>DFCEX</t>
  </si>
  <si>
    <t>VFIRX</t>
  </si>
  <si>
    <t>DFSTX</t>
  </si>
  <si>
    <t>PAIDX</t>
  </si>
  <si>
    <t>AMOMX</t>
  </si>
  <si>
    <t>PTTRX</t>
  </si>
  <si>
    <t>PBRIX</t>
  </si>
  <si>
    <t>ASMOX</t>
  </si>
  <si>
    <t>PCARX</t>
  </si>
  <si>
    <t>ARCIX</t>
  </si>
  <si>
    <t>FATIX</t>
  </si>
  <si>
    <t>VGPMX</t>
  </si>
  <si>
    <t>AIMOX</t>
  </si>
  <si>
    <t>QEMLX</t>
  </si>
  <si>
    <t>PHSIX</t>
  </si>
  <si>
    <t>PEBIX</t>
  </si>
  <si>
    <t>PFORX</t>
  </si>
  <si>
    <t>Daily Update of all NDR Signals</t>
  </si>
  <si>
    <t>Monthly Equity Restructuring determined by NDR ETF Model</t>
  </si>
  <si>
    <t>Potential Weekly Consolidated Portfolios Restructuring determined by GBM</t>
  </si>
  <si>
    <t>Potential Weekly Equity Restructuring determined by Model's Signals</t>
  </si>
  <si>
    <t>Potential Weekly/Daily Fixed Income Restructuring determined by Model's Signals</t>
  </si>
  <si>
    <t>Potential Weekly/Daily Alternatives Restructuring determined by Model's Signals</t>
  </si>
  <si>
    <t>Potential Daily reblancing across Consolidated Portfolios determined by price movements</t>
  </si>
  <si>
    <t>Potential Daily rebalancing across Equity, Fixed Income, &amp; Alternative Portfolios determined by price movements</t>
  </si>
  <si>
    <t>Global Big Mo Tape Composite</t>
  </si>
  <si>
    <t>DAVIS222</t>
  </si>
  <si>
    <t>Underweight</t>
  </si>
  <si>
    <t>Neutral</t>
  </si>
  <si>
    <t>Overweight</t>
  </si>
  <si>
    <t>53.0 - 76.99</t>
  </si>
  <si>
    <t>Bond Enhancement Model</t>
  </si>
  <si>
    <t>B890</t>
  </si>
  <si>
    <t>45.6 - 74.39</t>
  </si>
  <si>
    <t>US Stock Market Model Composite</t>
  </si>
  <si>
    <t>S75</t>
  </si>
  <si>
    <t>55.0 - 69.99</t>
  </si>
  <si>
    <t>Daily Gold Model</t>
  </si>
  <si>
    <t>AA420</t>
  </si>
  <si>
    <t>n/a</t>
  </si>
  <si>
    <t>&lt;49.99</t>
  </si>
  <si>
    <t>&gt;50.0</t>
  </si>
  <si>
    <t>NDR ETF Allocation Model</t>
  </si>
  <si>
    <t>Percentages Manually Added</t>
  </si>
  <si>
    <t>Equity Securities</t>
  </si>
  <si>
    <t>Fixed Income Securities</t>
  </si>
  <si>
    <t>Alternative Securities</t>
  </si>
  <si>
    <t>SPY</t>
  </si>
  <si>
    <t>SHV</t>
  </si>
  <si>
    <t>IJR</t>
  </si>
  <si>
    <t>MINT</t>
  </si>
  <si>
    <t>QQQ</t>
  </si>
  <si>
    <t>SHY</t>
  </si>
  <si>
    <t>SDY</t>
  </si>
  <si>
    <t xml:space="preserve">CSJ </t>
  </si>
  <si>
    <t>EFA</t>
  </si>
  <si>
    <t xml:space="preserve">BSV </t>
  </si>
  <si>
    <t>SPXU</t>
  </si>
  <si>
    <t>VWO</t>
  </si>
  <si>
    <t>CIU</t>
  </si>
  <si>
    <t xml:space="preserve">VCIT </t>
  </si>
  <si>
    <t>TLT</t>
  </si>
  <si>
    <t xml:space="preserve">IEF </t>
  </si>
  <si>
    <t>TLH</t>
  </si>
  <si>
    <t>LQD</t>
  </si>
  <si>
    <t xml:space="preserve">TLT </t>
  </si>
  <si>
    <t>JNK</t>
  </si>
  <si>
    <t xml:space="preserve">VCLT </t>
  </si>
  <si>
    <t>EMB</t>
  </si>
  <si>
    <t xml:space="preserve">VGLT </t>
  </si>
  <si>
    <t>BNDX</t>
  </si>
  <si>
    <t>Portfolios</t>
  </si>
  <si>
    <t>Equities</t>
  </si>
  <si>
    <t>Alternatives</t>
  </si>
  <si>
    <t>Neutral Return</t>
  </si>
  <si>
    <r>
      <rPr>
        <rFont val="Calibri"/>
        <b/>
        <color rgb="FFFF0000"/>
        <sz val="11.0"/>
      </rPr>
      <t>Bearish</t>
    </r>
    <r>
      <rPr>
        <rFont val="Calibri"/>
        <color rgb="FF000000"/>
        <sz val="11.0"/>
      </rPr>
      <t xml:space="preserve"> Allocation from Equity Reduction</t>
    </r>
  </si>
  <si>
    <r>
      <rPr>
        <rFont val="Calibri"/>
        <b/>
        <i/>
        <color rgb="FF000000"/>
        <sz val="11.0"/>
        <u/>
      </rPr>
      <t xml:space="preserve">Total </t>
    </r>
    <r>
      <rPr>
        <rFont val="Calibri"/>
        <color rgb="FFFF0000"/>
        <sz val="11.0"/>
      </rPr>
      <t xml:space="preserve">Adjusted </t>
    </r>
    <r>
      <rPr>
        <rFont val="Calibri"/>
        <color rgb="FF000000"/>
        <sz val="11.0"/>
      </rPr>
      <t>Return</t>
    </r>
  </si>
  <si>
    <r>
      <rPr>
        <rFont val="Calibri"/>
        <b/>
        <color rgb="FF548135"/>
        <sz val="11.0"/>
      </rPr>
      <t>Bullish</t>
    </r>
    <r>
      <rPr>
        <rFont val="Calibri"/>
        <color rgb="FF548135"/>
        <sz val="11.0"/>
      </rPr>
      <t xml:space="preserve"> </t>
    </r>
    <r>
      <rPr>
        <rFont val="Calibri"/>
        <color rgb="FF000000"/>
        <sz val="11.0"/>
      </rPr>
      <t>Allocation from Fixed Reduction</t>
    </r>
  </si>
  <si>
    <r>
      <rPr>
        <rFont val="Calibri"/>
        <b/>
        <i/>
        <color rgb="FF000000"/>
        <sz val="11.0"/>
        <u/>
      </rPr>
      <t>Total</t>
    </r>
    <r>
      <rPr>
        <rFont val="Calibri"/>
        <color rgb="FF00B050"/>
        <sz val="11.0"/>
      </rPr>
      <t xml:space="preserve"> Adjusted </t>
    </r>
    <r>
      <rPr>
        <rFont val="Calibri"/>
        <color rgb="FF000000"/>
        <sz val="11.0"/>
      </rPr>
      <t>Return</t>
    </r>
  </si>
  <si>
    <t>Conservative</t>
  </si>
  <si>
    <t>Aggressive</t>
  </si>
  <si>
    <t>*Potential Gain</t>
  </si>
  <si>
    <t>*Percent Allocation</t>
  </si>
  <si>
    <t>Market Neutral, Managed Futures, Long/Short</t>
  </si>
  <si>
    <t>Additoinal Wieghting to AA Strategy</t>
  </si>
  <si>
    <t>Tactical AA Strategy</t>
  </si>
  <si>
    <t>Tactical Fixed</t>
  </si>
  <si>
    <t>Tactical Alts.</t>
  </si>
  <si>
    <t>Fast Rebalancing @ 30bps</t>
  </si>
  <si>
    <t>Slow Rebalancing @ 130bps</t>
  </si>
  <si>
    <t>Drawdown Reduction</t>
  </si>
  <si>
    <t>Return Enhancement</t>
  </si>
  <si>
    <r>
      <rPr>
        <rFont val="Calibri"/>
        <b/>
        <color rgb="FFFF0000"/>
        <sz val="11.0"/>
      </rPr>
      <t>Bearish</t>
    </r>
    <r>
      <rPr>
        <rFont val="Calibri"/>
        <color rgb="FF000000"/>
        <sz val="11.0"/>
      </rPr>
      <t xml:space="preserve"> Allocation from Equity Reduction</t>
    </r>
  </si>
  <si>
    <r>
      <rPr>
        <rFont val="Calibri"/>
        <b/>
        <i/>
        <color rgb="FFFF0000"/>
        <sz val="11.0"/>
        <u/>
      </rPr>
      <t>Bearish</t>
    </r>
    <r>
      <rPr>
        <rFont val="Calibri"/>
        <b/>
        <i/>
        <color rgb="FF000000"/>
        <sz val="11.0"/>
        <u/>
      </rPr>
      <t xml:space="preserve"> Return</t>
    </r>
  </si>
  <si>
    <r>
      <rPr>
        <rFont val="Calibri"/>
        <b/>
        <color rgb="FF548135"/>
        <sz val="11.0"/>
      </rPr>
      <t>Bullish</t>
    </r>
    <r>
      <rPr>
        <rFont val="Calibri"/>
        <color rgb="FF548135"/>
        <sz val="11.0"/>
      </rPr>
      <t xml:space="preserve"> </t>
    </r>
    <r>
      <rPr>
        <rFont val="Calibri"/>
        <color rgb="FF000000"/>
        <sz val="11.0"/>
      </rPr>
      <t>Allocation from Fixed Reduction</t>
    </r>
  </si>
  <si>
    <r>
      <rPr>
        <rFont val="Calibri"/>
        <b/>
        <i/>
        <color rgb="FF548135"/>
        <sz val="11.0"/>
        <u/>
      </rPr>
      <t>Bullish</t>
    </r>
    <r>
      <rPr>
        <rFont val="Calibri"/>
        <b/>
        <i/>
        <color rgb="FF000000"/>
        <sz val="11.0"/>
        <u/>
      </rPr>
      <t xml:space="preserve"> Return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</si>
</sst>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000%"/>
    <numFmt numFmtId="166" formatCode="0.00000%"/>
  </numFmts>
  <fonts count="21">
    <font>
      <sz val="11.0"/>
      <color rgb="FF000000"/>
      <name val="Calibri"/>
    </font>
    <font/>
    <font>
      <sz val="11.0"/>
      <color rgb="FF000000"/>
      <name val="Inconsolata"/>
    </font>
    <font>
      <b/>
      <i/>
      <sz val="11.0"/>
      <color rgb="FF000000"/>
      <name val="Calibri"/>
    </font>
    <font>
      <b/>
      <sz val="11.0"/>
      <color rgb="FF000000"/>
      <name val="Calibri"/>
    </font>
    <font>
      <b/>
      <sz val="11.0"/>
      <color rgb="FF1155CC"/>
      <name val="Calibri"/>
    </font>
    <font>
      <sz val="11.0"/>
      <color rgb="FF9900FF"/>
      <name val="Calibri"/>
    </font>
    <font>
      <b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color rgb="FF000000"/>
      <name val="Calibri"/>
    </font>
    <font>
      <b/>
      <i/>
    </font>
    <font>
      <b/>
      <i/>
      <u/>
      <sz val="14.0"/>
      <color rgb="FF000000"/>
      <name val="Calibri"/>
    </font>
    <font>
      <b/>
      <u/>
      <sz val="11.0"/>
      <color rgb="FF000000"/>
      <name val="Calibri"/>
    </font>
    <font>
      <b/>
      <i/>
      <u/>
      <sz val="11.0"/>
      <color rgb="FF000000"/>
      <name val="Calibri"/>
    </font>
    <font>
      <b/>
      <i/>
      <u/>
      <sz val="11.0"/>
      <color rgb="FF000000"/>
      <name val="Calibri"/>
    </font>
    <font>
      <i/>
      <sz val="11.0"/>
      <color rgb="FF000000"/>
      <name val="Calibri"/>
    </font>
    <font>
      <i/>
      <sz val="9.0"/>
      <color rgb="FF000000"/>
      <name val="Calibri"/>
    </font>
    <font>
      <b/>
      <u/>
      <sz val="11.0"/>
      <color rgb="FF000000"/>
      <name val="Calibri"/>
    </font>
    <font>
      <b/>
      <i/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A9CD90"/>
        <bgColor rgb="FFA9CD90"/>
      </patternFill>
    </fill>
  </fills>
  <borders count="3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AAAAA"/>
      </left>
      <top style="thin">
        <color rgb="FFAAAAAA"/>
      </top>
    </border>
    <border>
      <top style="thin">
        <color rgb="FFAAAAAA"/>
      </top>
    </border>
    <border>
      <right style="thin">
        <color rgb="FFAAAAAA"/>
      </right>
      <top style="thin">
        <color rgb="FFAAAAAA"/>
      </top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bottom style="thin">
        <color rgb="FFAAAAAA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AAAAAA"/>
      </right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/>
      <top/>
      <bottom style="thin">
        <color rgb="FFAAAAAA"/>
      </bottom>
    </border>
    <border>
      <left style="thin">
        <color rgb="FFAAAAAA"/>
      </left>
      <righ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/>
      <top/>
      <bottom style="thin">
        <color rgb="FFAAAAAA"/>
      </bottom>
    </border>
    <border>
      <left/>
      <right style="thin">
        <color rgb="FFAAAAAA"/>
      </right>
      <top/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/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vertical="bottom"/>
    </xf>
    <xf borderId="2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" fillId="0" fontId="0" numFmtId="0" xfId="0" applyAlignment="1" applyBorder="1" applyFont="1">
      <alignment vertical="bottom"/>
    </xf>
    <xf borderId="4" fillId="0" fontId="1" numFmtId="0" xfId="0" applyBorder="1" applyFont="1"/>
    <xf borderId="5" fillId="0" fontId="1" numFmtId="0" xfId="0" applyBorder="1" applyFont="1"/>
    <xf borderId="1" fillId="0" fontId="0" numFmtId="49" xfId="0" applyAlignment="1" applyBorder="1" applyFont="1" applyNumberFormat="1">
      <alignment readingOrder="0" vertical="bottom"/>
    </xf>
    <xf borderId="0" fillId="2" fontId="2" numFmtId="0" xfId="0" applyAlignment="1" applyFill="1" applyFont="1">
      <alignment readingOrder="0"/>
    </xf>
    <xf borderId="3" fillId="0" fontId="0" numFmtId="49" xfId="0" applyAlignment="1" applyBorder="1" applyFont="1" applyNumberFormat="1">
      <alignment readingOrder="0" vertical="bottom"/>
    </xf>
    <xf borderId="6" fillId="0" fontId="0" numFmtId="0" xfId="0" applyAlignment="1" applyBorder="1" applyFont="1">
      <alignment vertical="bottom"/>
    </xf>
    <xf borderId="6" fillId="0" fontId="0" numFmtId="49" xfId="0" applyAlignment="1" applyBorder="1" applyFont="1" applyNumberFormat="1">
      <alignment horizontal="center" readingOrder="0" vertical="bottom"/>
    </xf>
    <xf borderId="7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readingOrder="0" vertical="bottom"/>
    </xf>
    <xf borderId="8" fillId="0" fontId="0" numFmtId="0" xfId="0" applyAlignment="1" applyBorder="1" applyFont="1">
      <alignment vertical="bottom"/>
    </xf>
    <xf borderId="9" fillId="0" fontId="1" numFmtId="0" xfId="0" applyBorder="1" applyFont="1"/>
    <xf borderId="1" fillId="0" fontId="0" numFmtId="10" xfId="0" applyAlignment="1" applyBorder="1" applyFont="1" applyNumberFormat="1">
      <alignment readingOrder="0" vertical="bottom"/>
    </xf>
    <xf borderId="10" fillId="0" fontId="1" numFmtId="0" xfId="0" applyBorder="1" applyFont="1"/>
    <xf borderId="1" fillId="0" fontId="0" numFmtId="164" xfId="0" applyAlignment="1" applyBorder="1" applyFont="1" applyNumberFormat="1">
      <alignment vertical="bottom"/>
    </xf>
    <xf borderId="7" fillId="2" fontId="0" numFmtId="0" xfId="0" applyBorder="1" applyFont="1"/>
    <xf borderId="1" fillId="0" fontId="0" numFmtId="10" xfId="0" applyAlignment="1" applyBorder="1" applyFont="1" applyNumberFormat="1">
      <alignment horizontal="center" readingOrder="0" vertical="bottom"/>
    </xf>
    <xf borderId="11" fillId="0" fontId="0" numFmtId="49" xfId="0" applyAlignment="1" applyBorder="1" applyFont="1" applyNumberFormat="1">
      <alignment readingOrder="0" vertical="bottom"/>
    </xf>
    <xf borderId="5" fillId="0" fontId="0" numFmtId="49" xfId="0" applyAlignment="1" applyBorder="1" applyFont="1" applyNumberFormat="1">
      <alignment readingOrder="0" vertical="bottom"/>
    </xf>
    <xf borderId="5" fillId="0" fontId="0" numFmtId="0" xfId="0" applyAlignment="1" applyBorder="1" applyFont="1">
      <alignment vertical="bottom"/>
    </xf>
    <xf borderId="1" fillId="2" fontId="3" numFmtId="0" xfId="0" applyAlignment="1" applyBorder="1" applyFont="1">
      <alignment readingOrder="0" vertical="bottom"/>
    </xf>
    <xf borderId="1" fillId="2" fontId="0" numFmtId="0" xfId="0" applyAlignment="1" applyBorder="1" applyFont="1">
      <alignment vertical="bottom"/>
    </xf>
    <xf borderId="1" fillId="0" fontId="0" numFmtId="164" xfId="0" applyAlignment="1" applyBorder="1" applyFont="1" applyNumberFormat="1">
      <alignment readingOrder="0" vertical="bottom"/>
    </xf>
    <xf borderId="1" fillId="0" fontId="4" numFmtId="10" xfId="0" applyAlignment="1" applyBorder="1" applyFont="1" applyNumberForma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3" numFmtId="9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1" fillId="0" fontId="0" numFmtId="9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12" fillId="2" fontId="0" numFmtId="10" xfId="0" applyAlignment="1" applyBorder="1" applyFont="1" applyNumberFormat="1">
      <alignment horizontal="center"/>
    </xf>
    <xf borderId="5" fillId="0" fontId="0" numFmtId="164" xfId="0" applyAlignment="1" applyBorder="1" applyFont="1" applyNumberFormat="1">
      <alignment vertical="bottom"/>
    </xf>
    <xf borderId="13" fillId="0" fontId="0" numFmtId="0" xfId="0" applyAlignment="1" applyBorder="1" applyFont="1">
      <alignment vertical="bottom"/>
    </xf>
    <xf borderId="4" fillId="0" fontId="0" numFmtId="0" xfId="0" applyAlignment="1" applyBorder="1" applyFont="1">
      <alignment readingOrder="0" vertical="bottom"/>
    </xf>
    <xf borderId="6" fillId="2" fontId="0" numFmtId="10" xfId="0" applyBorder="1" applyFont="1" applyNumberFormat="1"/>
    <xf borderId="0" fillId="2" fontId="0" numFmtId="164" xfId="0" applyFont="1" applyNumberFormat="1"/>
    <xf borderId="1" fillId="0" fontId="0" numFmtId="49" xfId="0" applyAlignment="1" applyBorder="1" applyFont="1" applyNumberFormat="1">
      <alignment vertical="bottom"/>
    </xf>
    <xf borderId="1" fillId="0" fontId="0" numFmtId="10" xfId="0" applyAlignment="1" applyBorder="1" applyFont="1" applyNumberFormat="1">
      <alignment vertical="bottom"/>
    </xf>
    <xf borderId="13" fillId="0" fontId="0" numFmtId="9" xfId="0" applyAlignment="1" applyBorder="1" applyFont="1" applyNumberFormat="1">
      <alignment horizontal="center" readingOrder="0" vertical="bottom"/>
    </xf>
    <xf borderId="12" fillId="2" fontId="0" numFmtId="9" xfId="0" applyAlignment="1" applyBorder="1" applyFont="1" applyNumberFormat="1">
      <alignment horizontal="center"/>
    </xf>
    <xf borderId="2" fillId="0" fontId="0" numFmtId="0" xfId="0" applyAlignment="1" applyBorder="1" applyFont="1">
      <alignment readingOrder="0" vertical="bottom"/>
    </xf>
    <xf borderId="14" fillId="0" fontId="0" numFmtId="0" xfId="0" applyAlignment="1" applyBorder="1" applyFont="1">
      <alignment vertical="bottom"/>
    </xf>
    <xf borderId="12" fillId="0" fontId="0" numFmtId="0" xfId="0" applyAlignment="1" applyBorder="1" applyFont="1">
      <alignment vertical="bottom"/>
    </xf>
    <xf borderId="15" fillId="0" fontId="0" numFmtId="0" xfId="0" applyAlignment="1" applyBorder="1" applyFont="1">
      <alignment vertical="bottom"/>
    </xf>
    <xf borderId="16" fillId="0" fontId="0" numFmtId="0" xfId="0" applyAlignment="1" applyBorder="1" applyFont="1">
      <alignment readingOrder="0" vertical="bottom"/>
    </xf>
    <xf borderId="16" fillId="0" fontId="0" numFmtId="10" xfId="0" applyAlignment="1" applyBorder="1" applyFont="1" applyNumberFormat="1">
      <alignment vertical="bottom"/>
    </xf>
    <xf borderId="16" fillId="0" fontId="0" numFmtId="164" xfId="0" applyAlignment="1" applyBorder="1" applyFont="1" applyNumberFormat="1">
      <alignment vertical="bottom"/>
    </xf>
    <xf borderId="16" fillId="0" fontId="0" numFmtId="0" xfId="0" applyAlignment="1" applyBorder="1" applyFont="1">
      <alignment vertical="bottom"/>
    </xf>
    <xf borderId="4" fillId="0" fontId="0" numFmtId="49" xfId="0" applyAlignment="1" applyBorder="1" applyFont="1" applyNumberFormat="1">
      <alignment readingOrder="0" vertical="bottom"/>
    </xf>
    <xf borderId="4" fillId="0" fontId="0" numFmtId="0" xfId="0" applyAlignment="1" applyBorder="1" applyFont="1">
      <alignment vertical="bottom"/>
    </xf>
    <xf borderId="2" fillId="0" fontId="4" numFmtId="10" xfId="0" applyAlignment="1" applyBorder="1" applyFont="1" applyNumberFormat="1">
      <alignment vertical="bottom"/>
    </xf>
    <xf borderId="0" fillId="0" fontId="0" numFmtId="0" xfId="0" applyAlignment="1" applyFont="1">
      <alignment readingOrder="0" vertical="bottom"/>
    </xf>
    <xf borderId="6" fillId="2" fontId="0" numFmtId="164" xfId="0" applyBorder="1" applyFont="1" applyNumberFormat="1"/>
    <xf borderId="5" fillId="2" fontId="3" numFmtId="0" xfId="0" applyAlignment="1" applyBorder="1" applyFont="1">
      <alignment readingOrder="0" vertical="bottom"/>
    </xf>
    <xf borderId="2" fillId="0" fontId="0" numFmtId="10" xfId="0" applyAlignment="1" applyBorder="1" applyFont="1" applyNumberFormat="1">
      <alignment readingOrder="0" vertical="bottom"/>
    </xf>
    <xf borderId="2" fillId="0" fontId="0" numFmtId="164" xfId="0" applyAlignment="1" applyBorder="1" applyFont="1" applyNumberFormat="1">
      <alignment vertical="bottom"/>
    </xf>
    <xf borderId="7" fillId="0" fontId="5" numFmtId="49" xfId="0" applyAlignment="1" applyBorder="1" applyFont="1" applyNumberFormat="1">
      <alignment horizontal="left" readingOrder="0" vertical="bottom"/>
    </xf>
    <xf borderId="7" fillId="3" fontId="5" numFmtId="49" xfId="0" applyAlignment="1" applyBorder="1" applyFill="1" applyFont="1" applyNumberFormat="1">
      <alignment horizontal="center" readingOrder="0" vertical="bottom"/>
    </xf>
    <xf borderId="7" fillId="0" fontId="4" numFmtId="49" xfId="0" applyAlignment="1" applyBorder="1" applyFont="1" applyNumberFormat="1">
      <alignment horizontal="right" readingOrder="0" vertical="bottom"/>
    </xf>
    <xf borderId="7" fillId="0" fontId="1" numFmtId="0" xfId="0" applyBorder="1" applyFont="1"/>
    <xf borderId="17" fillId="0" fontId="1" numFmtId="0" xfId="0" applyBorder="1" applyFont="1"/>
    <xf borderId="12" fillId="0" fontId="1" numFmtId="0" xfId="0" applyBorder="1" applyFont="1"/>
    <xf borderId="0" fillId="0" fontId="0" numFmtId="49" xfId="0" applyAlignment="1" applyFont="1" applyNumberFormat="1">
      <alignment horizontal="center" readingOrder="0" vertical="bottom"/>
    </xf>
    <xf borderId="7" fillId="0" fontId="6" numFmtId="164" xfId="0" applyAlignment="1" applyBorder="1" applyFont="1" applyNumberFormat="1">
      <alignment horizontal="left" readingOrder="0" vertical="bottom"/>
    </xf>
    <xf borderId="7" fillId="0" fontId="6" numFmtId="2" xfId="0" applyAlignment="1" applyBorder="1" applyFont="1" applyNumberFormat="1">
      <alignment horizontal="left" readingOrder="0" vertical="bottom"/>
    </xf>
    <xf borderId="0" fillId="0" fontId="3" numFmtId="49" xfId="0" applyAlignment="1" applyFont="1" applyNumberFormat="1">
      <alignment vertical="bottom"/>
    </xf>
    <xf borderId="0" fillId="0" fontId="0" numFmtId="49" xfId="0" applyAlignment="1" applyFont="1" applyNumberFormat="1">
      <alignment horizontal="center" vertical="bottom"/>
    </xf>
    <xf borderId="0" fillId="0" fontId="4" numFmtId="0" xfId="0" applyAlignment="1" applyFont="1">
      <alignment horizontal="left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49" xfId="0" applyAlignment="1" applyFont="1" applyNumberFormat="1">
      <alignment horizontal="left" readingOrder="0" vertical="bottom"/>
    </xf>
    <xf borderId="7" fillId="0" fontId="0" numFmtId="0" xfId="0" applyAlignment="1" applyBorder="1" applyFont="1">
      <alignment horizontal="left" readingOrder="0" vertical="bottom"/>
    </xf>
    <xf borderId="7" fillId="0" fontId="0" numFmtId="164" xfId="0" applyAlignment="1" applyBorder="1" applyFont="1" applyNumberFormat="1">
      <alignment horizontal="left" readingOrder="0" vertical="bottom"/>
    </xf>
    <xf borderId="7" fillId="0" fontId="0" numFmtId="49" xfId="0" applyAlignment="1" applyBorder="1" applyFont="1" applyNumberFormat="1">
      <alignment horizontal="left" readingOrder="0" vertical="bottom"/>
    </xf>
    <xf borderId="7" fillId="0" fontId="0" numFmtId="10" xfId="0" applyAlignment="1" applyBorder="1" applyFont="1" applyNumberFormat="1">
      <alignment horizontal="left" vertical="bottom"/>
    </xf>
    <xf borderId="7" fillId="0" fontId="0" numFmtId="164" xfId="0" applyAlignment="1" applyBorder="1" applyFont="1" applyNumberFormat="1">
      <alignment horizontal="left" vertical="bottom"/>
    </xf>
    <xf borderId="18" fillId="0" fontId="0" numFmtId="0" xfId="0" applyAlignment="1" applyBorder="1" applyFont="1">
      <alignment vertical="bottom"/>
    </xf>
    <xf borderId="19" fillId="0" fontId="0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20" fillId="0" fontId="0" numFmtId="0" xfId="0" applyAlignment="1" applyBorder="1" applyFont="1">
      <alignment vertical="bottom"/>
    </xf>
    <xf borderId="7" fillId="0" fontId="0" numFmtId="10" xfId="0" applyAlignment="1" applyBorder="1" applyFont="1" applyNumberFormat="1">
      <alignment horizontal="left" readingOrder="0" vertical="bottom"/>
    </xf>
    <xf borderId="7" fillId="0" fontId="0" numFmtId="0" xfId="0" applyAlignment="1" applyBorder="1" applyFont="1">
      <alignment horizontal="left" vertical="bottom"/>
    </xf>
    <xf borderId="0" fillId="0" fontId="0" numFmtId="10" xfId="0" applyAlignment="1" applyFont="1" applyNumberFormat="1">
      <alignment vertical="bottom"/>
    </xf>
    <xf borderId="0" fillId="0" fontId="0" numFmtId="10" xfId="0" applyAlignment="1" applyFont="1" applyNumberFormat="1">
      <alignment readingOrder="0" vertical="bottom"/>
    </xf>
    <xf borderId="0" fillId="2" fontId="0" numFmtId="10" xfId="0" applyFont="1" applyNumberFormat="1"/>
    <xf borderId="1" fillId="2" fontId="0" numFmtId="49" xfId="0" applyAlignment="1" applyBorder="1" applyFont="1" applyNumberFormat="1">
      <alignment readingOrder="0" vertical="bottom"/>
    </xf>
    <xf borderId="1" fillId="2" fontId="3" numFmtId="49" xfId="0" applyAlignment="1" applyBorder="1" applyFont="1" applyNumberFormat="1">
      <alignment vertical="bottom"/>
    </xf>
    <xf borderId="3" fillId="2" fontId="0" numFmtId="0" xfId="0" applyAlignment="1" applyBorder="1" applyFont="1">
      <alignment vertical="bottom"/>
    </xf>
    <xf borderId="6" fillId="2" fontId="0" numFmtId="49" xfId="0" applyAlignment="1" applyBorder="1" applyFont="1" applyNumberFormat="1">
      <alignment horizontal="center" readingOrder="0" vertical="bottom"/>
    </xf>
    <xf borderId="6" fillId="2" fontId="0" numFmtId="49" xfId="0" applyAlignment="1" applyBorder="1" applyFont="1" applyNumberFormat="1">
      <alignment horizontal="center" vertical="bottom"/>
    </xf>
    <xf borderId="5" fillId="2" fontId="0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1" fillId="2" fontId="0" numFmtId="0" xfId="0" applyAlignment="1" applyBorder="1" applyFont="1">
      <alignment readingOrder="0" vertical="bottom"/>
    </xf>
    <xf borderId="3" fillId="2" fontId="0" numFmtId="0" xfId="0" applyAlignment="1" applyBorder="1" applyFont="1">
      <alignment readingOrder="0" vertical="bottom"/>
    </xf>
    <xf borderId="20" fillId="2" fontId="0" numFmtId="164" xfId="0" applyBorder="1" applyFont="1" applyNumberFormat="1"/>
    <xf borderId="21" fillId="2" fontId="0" numFmtId="164" xfId="0" applyBorder="1" applyFont="1" applyNumberFormat="1"/>
    <xf borderId="12" fillId="2" fontId="0" numFmtId="9" xfId="0" applyAlignment="1" applyBorder="1" applyFont="1" applyNumberFormat="1">
      <alignment horizontal="center" vertical="bottom"/>
    </xf>
    <xf borderId="12" fillId="2" fontId="0" numFmtId="164" xfId="0" applyAlignment="1" applyBorder="1" applyFont="1" applyNumberFormat="1">
      <alignment vertical="bottom"/>
    </xf>
    <xf borderId="5" fillId="2" fontId="0" numFmtId="0" xfId="0" applyAlignment="1" applyBorder="1" applyFont="1">
      <alignment readingOrder="0" vertical="bottom"/>
    </xf>
    <xf borderId="22" fillId="2" fontId="0" numFmtId="0" xfId="0" applyBorder="1" applyFont="1"/>
    <xf borderId="10" fillId="2" fontId="0" numFmtId="0" xfId="0" applyAlignment="1" applyBorder="1" applyFont="1">
      <alignment readingOrder="0" vertical="bottom"/>
    </xf>
    <xf borderId="23" fillId="2" fontId="0" numFmtId="164" xfId="0" applyBorder="1" applyFont="1" applyNumberFormat="1"/>
    <xf borderId="0" fillId="0" fontId="7" numFmtId="0" xfId="0" applyFont="1"/>
    <xf borderId="0" fillId="0" fontId="7" numFmtId="0" xfId="0" applyAlignment="1" applyFont="1">
      <alignment readingOrder="0"/>
    </xf>
    <xf borderId="0" fillId="2" fontId="4" numFmtId="0" xfId="0" applyFont="1"/>
    <xf borderId="6" fillId="0" fontId="0" numFmtId="0" xfId="0" applyAlignment="1" applyBorder="1" applyFont="1">
      <alignment readingOrder="0" vertical="bottom"/>
    </xf>
    <xf borderId="6" fillId="0" fontId="0" numFmtId="10" xfId="0" applyAlignment="1" applyBorder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0" numFmtId="164" xfId="0" applyAlignment="1" applyFont="1" applyNumberFormat="1">
      <alignment readingOrder="0" vertical="bottom"/>
    </xf>
    <xf borderId="0" fillId="0" fontId="0" numFmtId="164" xfId="0" applyAlignment="1" applyFont="1" applyNumberFormat="1">
      <alignment vertical="bottom"/>
    </xf>
    <xf borderId="0" fillId="0" fontId="6" numFmtId="10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0" fontId="0" numFmtId="10" xfId="0" applyAlignment="1" applyFont="1" applyNumberFormat="1">
      <alignment horizontal="center" readingOrder="0" vertical="bottom"/>
    </xf>
    <xf borderId="0" fillId="2" fontId="0" numFmtId="10" xfId="0" applyAlignment="1" applyFont="1" applyNumberFormat="1">
      <alignment readingOrder="0" vertical="bottom"/>
    </xf>
    <xf borderId="0" fillId="0" fontId="1" numFmtId="164" xfId="0" applyFont="1" applyNumberFormat="1"/>
    <xf borderId="0" fillId="2" fontId="0" numFmtId="10" xfId="0" applyAlignment="1" applyFont="1" applyNumberFormat="1">
      <alignment horizontal="center"/>
    </xf>
    <xf borderId="12" fillId="2" fontId="0" numFmtId="0" xfId="0" applyAlignment="1" applyBorder="1" applyFont="1">
      <alignment vertical="bottom"/>
    </xf>
    <xf borderId="14" fillId="2" fontId="0" numFmtId="0" xfId="0" applyAlignment="1" applyBorder="1" applyFont="1">
      <alignment vertical="bottom"/>
    </xf>
    <xf borderId="5" fillId="2" fontId="8" numFmtId="49" xfId="0" applyAlignment="1" applyBorder="1" applyFont="1" applyNumberFormat="1">
      <alignment horizontal="center" vertical="bottom"/>
    </xf>
    <xf borderId="1" fillId="2" fontId="9" numFmtId="49" xfId="0" applyAlignment="1" applyBorder="1" applyFont="1" applyNumberFormat="1">
      <alignment horizontal="center" vertical="bottom"/>
    </xf>
    <xf borderId="13" fillId="2" fontId="0" numFmtId="0" xfId="0" applyAlignment="1" applyBorder="1" applyFont="1">
      <alignment readingOrder="0" vertical="bottom"/>
    </xf>
    <xf borderId="2" fillId="2" fontId="10" numFmtId="49" xfId="0" applyAlignment="1" applyBorder="1" applyFont="1" applyNumberFormat="1">
      <alignment horizontal="center" vertical="bottom"/>
    </xf>
    <xf borderId="1" fillId="2" fontId="0" numFmtId="49" xfId="0" applyAlignment="1" applyBorder="1" applyFont="1" applyNumberFormat="1">
      <alignment vertical="bottom"/>
    </xf>
    <xf borderId="1" fillId="2" fontId="0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1" fillId="2" fontId="0" numFmtId="49" xfId="0" applyAlignment="1" applyBorder="1" applyFont="1" applyNumberFormat="1">
      <alignment horizontal="center" vertical="bottom"/>
    </xf>
    <xf borderId="1" fillId="2" fontId="4" numFmtId="49" xfId="0" applyAlignment="1" applyBorder="1" applyFont="1" applyNumberFormat="1">
      <alignment readingOrder="0" vertical="bottom"/>
    </xf>
    <xf borderId="0" fillId="2" fontId="0" numFmtId="164" xfId="0" applyAlignment="1" applyFont="1" applyNumberFormat="1">
      <alignment readingOrder="0"/>
    </xf>
    <xf borderId="0" fillId="2" fontId="0" numFmtId="1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2" numFmtId="164" xfId="0" applyFont="1" applyNumberFormat="1"/>
    <xf borderId="0" fillId="0" fontId="1" numFmtId="10" xfId="0" applyFont="1" applyNumberFormat="1"/>
    <xf borderId="6" fillId="0" fontId="0" numFmtId="10" xfId="0" applyAlignment="1" applyBorder="1" applyFont="1" applyNumberFormat="1">
      <alignment readingOrder="0" vertical="bottom"/>
    </xf>
    <xf borderId="6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0" fillId="0" fontId="0" numFmtId="10" xfId="0" applyAlignment="1" applyFont="1" applyNumberFormat="1">
      <alignment horizontal="right" vertical="bottom"/>
    </xf>
    <xf borderId="19" fillId="0" fontId="0" numFmtId="0" xfId="0" applyAlignment="1" applyBorder="1" applyFont="1">
      <alignment vertical="bottom"/>
    </xf>
    <xf borderId="24" fillId="0" fontId="0" numFmtId="49" xfId="0" applyAlignment="1" applyBorder="1" applyFont="1" applyNumberFormat="1">
      <alignment readingOrder="0" vertical="bottom"/>
    </xf>
    <xf borderId="24" fillId="0" fontId="0" numFmtId="0" xfId="0" applyAlignment="1" applyBorder="1" applyFont="1">
      <alignment vertical="bottom"/>
    </xf>
    <xf borderId="24" fillId="0" fontId="1" numFmtId="0" xfId="0" applyBorder="1" applyFont="1"/>
    <xf borderId="24" fillId="0" fontId="0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1" fillId="0" fontId="3" numFmtId="49" xfId="0" applyAlignment="1" applyBorder="1" applyFont="1" applyNumberFormat="1">
      <alignment vertical="bottom"/>
    </xf>
    <xf borderId="25" fillId="4" fontId="0" numFmtId="49" xfId="0" applyAlignment="1" applyBorder="1" applyFill="1" applyFont="1" applyNumberFormat="1">
      <alignment horizontal="center" readingOrder="0" vertical="bottom"/>
    </xf>
    <xf borderId="26" fillId="5" fontId="0" numFmtId="49" xfId="0" applyAlignment="1" applyBorder="1" applyFill="1" applyFont="1" applyNumberFormat="1">
      <alignment horizontal="center" vertical="bottom"/>
    </xf>
    <xf borderId="26" fillId="6" fontId="0" numFmtId="49" xfId="0" applyAlignment="1" applyBorder="1" applyFill="1" applyFont="1" applyNumberFormat="1">
      <alignment horizontal="center" readingOrder="0" vertical="bottom"/>
    </xf>
    <xf borderId="2" fillId="0" fontId="0" numFmtId="0" xfId="0" applyAlignment="1" applyBorder="1" applyFont="1">
      <alignment horizontal="center" vertical="bottom"/>
    </xf>
    <xf borderId="2" fillId="0" fontId="0" numFmtId="49" xfId="0" applyAlignment="1" applyBorder="1" applyFont="1" applyNumberFormat="1">
      <alignment horizontal="center" readingOrder="0" vertical="bottom"/>
    </xf>
    <xf borderId="2" fillId="0" fontId="0" numFmtId="0" xfId="0" applyAlignment="1" applyBorder="1" applyFont="1">
      <alignment horizontal="center" readingOrder="0" vertical="bottom"/>
    </xf>
    <xf borderId="13" fillId="0" fontId="0" numFmtId="0" xfId="0" applyAlignment="1" applyBorder="1" applyFont="1">
      <alignment horizontal="center" vertical="bottom"/>
    </xf>
    <xf borderId="1" fillId="0" fontId="3" numFmtId="49" xfId="0" applyAlignment="1" applyBorder="1" applyFont="1" applyNumberFormat="1">
      <alignment readingOrder="0" vertical="bottom"/>
    </xf>
    <xf borderId="11" fillId="5" fontId="0" numFmtId="49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vertical="bottom"/>
    </xf>
    <xf borderId="27" fillId="5" fontId="0" numFmtId="49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12" numFmtId="0" xfId="0" applyFont="1"/>
    <xf borderId="28" fillId="7" fontId="13" numFmtId="49" xfId="0" applyAlignment="1" applyBorder="1" applyFill="1" applyFont="1" applyNumberFormat="1">
      <alignment vertical="bottom"/>
    </xf>
    <xf borderId="26" fillId="7" fontId="14" numFmtId="49" xfId="0" applyAlignment="1" applyBorder="1" applyFont="1" applyNumberFormat="1">
      <alignment horizontal="center" vertical="bottom"/>
    </xf>
    <xf borderId="26" fillId="7" fontId="15" numFmtId="49" xfId="0" applyAlignment="1" applyBorder="1" applyFont="1" applyNumberFormat="1">
      <alignment horizontal="center" vertical="bottom"/>
    </xf>
    <xf borderId="26" fillId="7" fontId="0" numFmtId="49" xfId="0" applyAlignment="1" applyBorder="1" applyFont="1" applyNumberFormat="1">
      <alignment horizontal="center" vertical="bottom"/>
    </xf>
    <xf borderId="25" fillId="7" fontId="0" numFmtId="0" xfId="0" applyAlignment="1" applyBorder="1" applyFont="1">
      <alignment vertical="bottom"/>
    </xf>
    <xf borderId="29" fillId="7" fontId="16" numFmtId="0" xfId="0" applyAlignment="1" applyBorder="1" applyFont="1">
      <alignment vertical="bottom"/>
    </xf>
    <xf borderId="30" fillId="2" fontId="3" numFmtId="10" xfId="0" applyAlignment="1" applyBorder="1" applyFont="1" applyNumberFormat="1">
      <alignment horizontal="center" vertical="bottom"/>
    </xf>
    <xf borderId="31" fillId="2" fontId="3" numFmtId="10" xfId="0" applyAlignment="1" applyBorder="1" applyFont="1" applyNumberFormat="1">
      <alignment horizontal="center" readingOrder="0" vertical="bottom"/>
    </xf>
    <xf borderId="32" fillId="2" fontId="3" numFmtId="10" xfId="0" applyAlignment="1" applyBorder="1" applyFont="1" applyNumberFormat="1">
      <alignment horizontal="center" vertical="bottom"/>
    </xf>
    <xf borderId="11" fillId="5" fontId="17" numFmtId="10" xfId="0" applyAlignment="1" applyBorder="1" applyFont="1" applyNumberFormat="1">
      <alignment horizontal="center" vertical="bottom"/>
    </xf>
    <xf borderId="27" fillId="2" fontId="3" numFmtId="10" xfId="0" applyAlignment="1" applyBorder="1" applyFont="1" applyNumberFormat="1">
      <alignment horizontal="center" vertical="bottom"/>
    </xf>
    <xf borderId="11" fillId="4" fontId="3" numFmtId="10" xfId="0" applyAlignment="1" applyBorder="1" applyFont="1" applyNumberFormat="1">
      <alignment horizontal="center" vertical="bottom"/>
    </xf>
    <xf borderId="11" fillId="8" fontId="3" numFmtId="10" xfId="0" applyAlignment="1" applyBorder="1" applyFill="1" applyFont="1" applyNumberFormat="1">
      <alignment horizontal="center" vertical="bottom"/>
    </xf>
    <xf borderId="33" fillId="7" fontId="0" numFmtId="0" xfId="0" applyAlignment="1" applyBorder="1" applyFont="1">
      <alignment vertical="bottom"/>
    </xf>
    <xf borderId="29" fillId="7" fontId="0" numFmtId="0" xfId="0" applyAlignment="1" applyBorder="1" applyFont="1">
      <alignment vertical="bottom"/>
    </xf>
    <xf borderId="34" fillId="2" fontId="0" numFmtId="0" xfId="0" applyAlignment="1" applyBorder="1" applyFont="1">
      <alignment vertical="bottom"/>
    </xf>
    <xf borderId="35" fillId="2" fontId="0" numFmtId="0" xfId="0" applyAlignment="1" applyBorder="1" applyFont="1">
      <alignment vertical="bottom"/>
    </xf>
    <xf borderId="36" fillId="2" fontId="0" numFmtId="0" xfId="0" applyAlignment="1" applyBorder="1" applyFont="1">
      <alignment vertical="bottom"/>
    </xf>
    <xf borderId="11" fillId="4" fontId="17" numFmtId="10" xfId="0" applyAlignment="1" applyBorder="1" applyFont="1" applyNumberFormat="1">
      <alignment horizontal="center" vertical="bottom"/>
    </xf>
    <xf borderId="11" fillId="8" fontId="17" numFmtId="10" xfId="0" applyAlignment="1" applyBorder="1" applyFont="1" applyNumberFormat="1">
      <alignment horizontal="center" vertical="bottom"/>
    </xf>
    <xf borderId="29" fillId="7" fontId="3" numFmtId="49" xfId="0" applyAlignment="1" applyBorder="1" applyFont="1" applyNumberFormat="1">
      <alignment vertical="bottom"/>
    </xf>
    <xf borderId="34" fillId="2" fontId="0" numFmtId="10" xfId="0" applyAlignment="1" applyBorder="1" applyFont="1" applyNumberFormat="1">
      <alignment vertical="bottom"/>
    </xf>
    <xf borderId="1" fillId="2" fontId="0" numFmtId="10" xfId="0" applyAlignment="1" applyBorder="1" applyFont="1" applyNumberFormat="1">
      <alignment horizontal="right" vertical="bottom"/>
    </xf>
    <xf borderId="35" fillId="2" fontId="0" numFmtId="10" xfId="0" applyAlignment="1" applyBorder="1" applyFont="1" applyNumberFormat="1">
      <alignment vertical="bottom"/>
    </xf>
    <xf borderId="36" fillId="2" fontId="0" numFmtId="10" xfId="0" applyAlignment="1" applyBorder="1" applyFont="1" applyNumberFormat="1">
      <alignment vertical="bottom"/>
    </xf>
    <xf borderId="11" fillId="4" fontId="17" numFmtId="165" xfId="0" applyAlignment="1" applyBorder="1" applyFont="1" applyNumberFormat="1">
      <alignment horizontal="center" vertical="bottom"/>
    </xf>
    <xf borderId="11" fillId="8" fontId="17" numFmtId="166" xfId="0" applyAlignment="1" applyBorder="1" applyFont="1" applyNumberFormat="1">
      <alignment horizontal="center" vertical="bottom"/>
    </xf>
    <xf borderId="29" fillId="7" fontId="3" numFmtId="0" xfId="0" applyAlignment="1" applyBorder="1" applyFont="1">
      <alignment vertical="bottom"/>
    </xf>
    <xf borderId="1" fillId="2" fontId="0" numFmtId="10" xfId="0" applyAlignment="1" applyBorder="1" applyFont="1" applyNumberFormat="1">
      <alignment vertical="bottom"/>
    </xf>
    <xf borderId="11" fillId="8" fontId="17" numFmtId="165" xfId="0" applyAlignment="1" applyBorder="1" applyFont="1" applyNumberFormat="1">
      <alignment horizontal="center" vertical="bottom"/>
    </xf>
    <xf borderId="25" fillId="2" fontId="0" numFmtId="0" xfId="0" applyAlignment="1" applyBorder="1" applyFont="1">
      <alignment vertical="bottom"/>
    </xf>
    <xf borderId="37" fillId="2" fontId="0" numFmtId="0" xfId="0" applyAlignment="1" applyBorder="1" applyFont="1">
      <alignment vertical="bottom"/>
    </xf>
    <xf borderId="28" fillId="2" fontId="0" numFmtId="0" xfId="0" applyAlignment="1" applyBorder="1" applyFont="1">
      <alignment vertical="bottom"/>
    </xf>
    <xf borderId="26" fillId="2" fontId="0" numFmtId="0" xfId="0" applyAlignment="1" applyBorder="1" applyFont="1">
      <alignment vertical="bottom"/>
    </xf>
    <xf borderId="11" fillId="7" fontId="18" numFmtId="49" xfId="0" applyAlignment="1" applyBorder="1" applyFont="1" applyNumberFormat="1">
      <alignment horizontal="center" vertical="bottom"/>
    </xf>
    <xf borderId="11" fillId="7" fontId="18" numFmtId="0" xfId="0" applyAlignment="1" applyBorder="1" applyFont="1">
      <alignment horizontal="center" vertical="bottom"/>
    </xf>
    <xf borderId="11" fillId="7" fontId="0" numFmtId="0" xfId="0" applyAlignment="1" applyBorder="1" applyFont="1">
      <alignment vertical="bottom"/>
    </xf>
    <xf borderId="11" fillId="7" fontId="0" numFmtId="49" xfId="0" applyAlignment="1" applyBorder="1" applyFont="1" applyNumberFormat="1">
      <alignment horizontal="left" vertical="bottom"/>
    </xf>
    <xf borderId="11" fillId="7" fontId="19" numFmtId="49" xfId="0" applyAlignment="1" applyBorder="1" applyFont="1" applyNumberFormat="1">
      <alignment horizontal="center" vertical="bottom"/>
    </xf>
    <xf borderId="11" fillId="7" fontId="20" numFmtId="49" xfId="0" applyAlignment="1" applyBorder="1" applyFont="1" applyNumberFormat="1">
      <alignment horizontal="center" vertical="bottom"/>
    </xf>
    <xf borderId="30" fillId="2" fontId="3" numFmtId="10" xfId="0" applyAlignment="1" applyBorder="1" applyFont="1" applyNumberFormat="1">
      <alignment horizontal="center" readingOrder="0" vertical="bottom"/>
    </xf>
    <xf borderId="32" fillId="2" fontId="3" numFmtId="10" xfId="0" applyAlignment="1" applyBorder="1" applyFont="1" applyNumberFormat="1">
      <alignment horizontal="center" readingOrder="0" vertical="bottom"/>
    </xf>
    <xf borderId="1" fillId="2" fontId="4" numFmtId="10" xfId="0" applyAlignment="1" applyBorder="1" applyFont="1" applyNumberFormat="1">
      <alignment horizontal="center" vertical="bottom"/>
    </xf>
    <xf borderId="31" fillId="2" fontId="3" numFmtId="10" xfId="0" applyAlignment="1" applyBorder="1" applyFont="1" applyNumberFormat="1">
      <alignment horizontal="center" vertical="bottom"/>
    </xf>
    <xf borderId="11" fillId="6" fontId="17" numFmtId="10" xfId="0" applyAlignment="1" applyBorder="1" applyFont="1" applyNumberFormat="1">
      <alignment horizontal="center" vertical="bottom"/>
    </xf>
    <xf borderId="32" fillId="7" fontId="0" numFmtId="0" xfId="0" applyAlignment="1" applyBorder="1" applyFont="1">
      <alignment vertical="bottom"/>
    </xf>
    <xf borderId="27" fillId="7" fontId="0" numFmtId="0" xfId="0" applyAlignment="1" applyBorder="1" applyFont="1">
      <alignment vertical="bottom"/>
    </xf>
    <xf borderId="30" fillId="7" fontId="0" numFmtId="0" xfId="0" applyAlignment="1" applyBorder="1" applyFont="1">
      <alignment vertical="bottom"/>
    </xf>
  </cellXfs>
  <cellStyles count="1">
    <cellStyle xfId="0" name="Normal" builtinId="0"/>
  </cellStyles>
  <dxfs count="11">
    <dxf>
      <font>
        <color rgb="FF0B8043"/>
      </font>
      <fill>
        <patternFill patternType="solid">
          <fgColor rgb="FFFFFF00"/>
          <bgColor rgb="FFFFFF00"/>
        </patternFill>
      </fill>
      <border/>
    </dxf>
    <dxf>
      <font>
        <color rgb="FF0B8043"/>
      </font>
      <fill>
        <patternFill patternType="solid">
          <fgColor rgb="FFD8D8D8"/>
          <bgColor rgb="FFD8D8D8"/>
        </patternFill>
      </fill>
      <border/>
    </dxf>
    <dxf>
      <font>
        <color rgb="FFC53929"/>
      </font>
      <fill>
        <patternFill patternType="solid">
          <fgColor rgb="FFFFFF00"/>
          <bgColor rgb="FFFFFF00"/>
        </patternFill>
      </fill>
      <border/>
    </dxf>
    <dxf>
      <font>
        <color rgb="FFC53929"/>
      </font>
      <fill>
        <patternFill patternType="solid">
          <fgColor rgb="FFD8D8D8"/>
          <bgColor rgb="FFD8D8D8"/>
        </patternFill>
      </fill>
      <border/>
    </dxf>
    <dxf>
      <font>
        <color rgb="FFF09300"/>
      </font>
      <fill>
        <patternFill patternType="solid">
          <fgColor rgb="FFFFFF00"/>
          <bgColor rgb="FFFFFF00"/>
        </patternFill>
      </fill>
      <border/>
    </dxf>
    <dxf>
      <font>
        <color rgb="FFF093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B8043"/>
      </font>
      <fill>
        <patternFill patternType="none"/>
      </fill>
      <border/>
    </dxf>
    <dxf>
      <font>
        <color rgb="FFC53929"/>
      </font>
      <fill>
        <patternFill patternType="none"/>
      </fill>
      <border/>
    </dxf>
    <dxf>
      <font>
        <color rgb="FFF093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General Composite Allocation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38761D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Home!$A$9:$A$11</c:f>
            </c:strRef>
          </c:cat>
          <c:val>
            <c:numRef>
              <c:f>Home!$B$9:$B$11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Appreciation Model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'Source Data'!$D$1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'Source Data'!$C$2:$C$26</c:f>
            </c:strRef>
          </c:cat>
          <c:val>
            <c:numRef>
              <c:f>'Source Data'!$D$2:$D$26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Preservation Model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'Source Data'!$N$1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'Source Data'!$M$2:$M$14</c:f>
            </c:strRef>
          </c:cat>
          <c:val>
            <c:numRef>
              <c:f>'Source Data'!$N$2:$N$14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Alternative Model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'Source Data'!$W$1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'Source Data'!$V$2:$V$14</c:f>
            </c:strRef>
          </c:cat>
          <c:val>
            <c:numRef>
              <c:f>'Source Data'!$W$2:$W$14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0</xdr:rowOff>
    </xdr:from>
    <xdr:ext cx="43815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190500</xdr:rowOff>
    </xdr:from>
    <xdr:ext cx="4695825" cy="2943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542925</xdr:colOff>
      <xdr:row>14</xdr:row>
      <xdr:rowOff>190500</xdr:rowOff>
    </xdr:from>
    <xdr:ext cx="4457700" cy="2933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523875</xdr:colOff>
      <xdr:row>14</xdr:row>
      <xdr:rowOff>171450</xdr:rowOff>
    </xdr:from>
    <xdr:ext cx="3952875" cy="2971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27.71"/>
    <col customWidth="1" min="2" max="2" width="14.71"/>
    <col customWidth="1" min="3" max="3" width="19.86"/>
    <col customWidth="1" min="4" max="4" width="8.57"/>
    <col customWidth="1" min="5" max="5" width="17.0"/>
    <col customWidth="1" min="6" max="6" width="20.29"/>
    <col customWidth="1" min="7" max="7" width="20.0"/>
    <col customWidth="1" min="8" max="8" width="17.43"/>
    <col customWidth="1" min="9" max="9" width="19.86"/>
    <col customWidth="1" min="10" max="10" width="16.43"/>
    <col customWidth="1" min="11" max="28" width="8.86"/>
  </cols>
  <sheetData>
    <row r="1">
      <c r="A1" s="60" t="s">
        <v>11</v>
      </c>
      <c r="B1" s="61" t="s">
        <v>12</v>
      </c>
      <c r="C1" s="62"/>
      <c r="D1" s="63"/>
      <c r="E1" s="64"/>
      <c r="F1" s="65"/>
      <c r="K1" s="66"/>
      <c r="L1" s="66"/>
      <c r="M1" s="66"/>
      <c r="P1" s="66"/>
      <c r="Q1" s="66"/>
      <c r="R1" s="66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0" t="s">
        <v>13</v>
      </c>
      <c r="B2" s="67">
        <v>1000000.0</v>
      </c>
      <c r="C2" s="62"/>
      <c r="D2" s="63"/>
      <c r="E2" s="64"/>
      <c r="F2" s="65"/>
      <c r="K2" s="66"/>
      <c r="L2" s="66"/>
      <c r="M2" s="66"/>
      <c r="P2" s="66"/>
      <c r="Q2" s="66"/>
      <c r="R2" s="66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60" t="s">
        <v>14</v>
      </c>
      <c r="B3" s="68">
        <v>60.0</v>
      </c>
      <c r="C3" s="13" t="str">
        <f> IF(B3&gt;77, "Overweight", IF(B3&lt;53, "Underweight", "Neutral"))</f>
        <v>Neutral</v>
      </c>
      <c r="D3" s="63"/>
      <c r="E3" s="64"/>
      <c r="F3" s="65"/>
      <c r="K3" s="66"/>
      <c r="L3" s="66"/>
      <c r="M3" s="66"/>
      <c r="P3" s="66"/>
      <c r="Q3" s="66"/>
      <c r="R3" s="66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60" t="s">
        <v>15</v>
      </c>
      <c r="B4" s="68">
        <v>80.0</v>
      </c>
      <c r="C4" s="13" t="str">
        <f> IF(B4&lt;55, "Underweight", IF(B4&gt;70, "Overweight", "Neutral"))</f>
        <v>Overweight</v>
      </c>
      <c r="D4" s="62"/>
      <c r="E4" s="64"/>
      <c r="F4" s="65"/>
      <c r="G4" s="69"/>
      <c r="I4" s="70"/>
      <c r="J4" s="70"/>
      <c r="K4" s="66"/>
      <c r="L4" s="66"/>
      <c r="M4" s="66"/>
      <c r="P4" s="66"/>
      <c r="Q4" s="66"/>
      <c r="R4" s="66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60" t="s">
        <v>16</v>
      </c>
      <c r="B5" s="68">
        <v>30.0</v>
      </c>
      <c r="C5" s="13" t="str">
        <f> IF(B5&lt;45.6, "Underweight", IF(B5&gt;74.4, "Overweight", "Neutral"))</f>
        <v>Underweight</v>
      </c>
      <c r="D5" s="62"/>
      <c r="E5" s="64"/>
      <c r="F5" s="65"/>
      <c r="G5" s="69"/>
      <c r="I5" s="70"/>
      <c r="J5" s="70"/>
      <c r="K5" s="66"/>
      <c r="L5" s="66"/>
      <c r="M5" s="66"/>
      <c r="P5" s="66"/>
      <c r="Q5" s="66"/>
      <c r="R5" s="66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60" t="s">
        <v>17</v>
      </c>
      <c r="B6" s="68">
        <v>30.0</v>
      </c>
      <c r="C6" s="13" t="str">
        <f> IF(B6&lt;50, "Underweight", "Overweight")</f>
        <v>Underweight</v>
      </c>
      <c r="D6" s="62"/>
      <c r="E6" s="64"/>
      <c r="F6" s="65"/>
      <c r="G6" s="69"/>
      <c r="I6" s="70"/>
      <c r="J6" s="70"/>
      <c r="K6" s="66"/>
      <c r="L6" s="66"/>
      <c r="M6" s="66"/>
      <c r="P6" s="66"/>
      <c r="Q6" s="66"/>
      <c r="R6" s="66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60" t="s">
        <v>18</v>
      </c>
      <c r="B7" s="68">
        <v>70.0</v>
      </c>
      <c r="C7" s="13" t="str">
        <f> IF(B7&lt;45, "Underweight", IF(B7&gt;67, "Overweight", "Neutral"))</f>
        <v>Overweight</v>
      </c>
      <c r="D7" s="62"/>
      <c r="E7" s="64"/>
      <c r="F7" s="65"/>
      <c r="G7" s="69"/>
      <c r="I7" s="70"/>
      <c r="J7" s="70"/>
      <c r="K7" s="66"/>
      <c r="L7" s="66"/>
      <c r="M7" s="66"/>
      <c r="P7" s="66"/>
      <c r="Q7" s="66"/>
      <c r="R7" s="66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63"/>
      <c r="B8" s="63"/>
      <c r="C8" s="63"/>
      <c r="D8" s="63"/>
      <c r="E8" s="64"/>
      <c r="F8" s="65"/>
      <c r="H8" s="71"/>
      <c r="I8" s="72"/>
      <c r="J8" s="72"/>
      <c r="K8" s="73"/>
      <c r="L8" s="72"/>
      <c r="M8" s="72"/>
      <c r="P8" s="66"/>
      <c r="Q8" s="66"/>
      <c r="R8" s="66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74" t="s">
        <v>19</v>
      </c>
      <c r="B9" s="75">
        <f>B2*D9</f>
        <v>400000</v>
      </c>
      <c r="C9" s="76" t="s">
        <v>20</v>
      </c>
      <c r="D9" s="77">
        <f> IF(C3="Underweight", IF(B1="Conservative", 0.1, IF(B1="Moderate", 0.2, 0.3)), IF(C3="Neutral", IF(B1="Conservative", 0.2, IF(B1="Moderate", 0.4, 0.6)), IF(B1="Conservative", 0.3, IF(B1="Moderate", 0.6, 0.9))))</f>
        <v>0.4</v>
      </c>
      <c r="E9" s="64"/>
      <c r="F9" s="65"/>
      <c r="H9" s="4"/>
      <c r="I9" s="55"/>
      <c r="J9" s="4"/>
      <c r="K9" s="55"/>
      <c r="L9" s="55"/>
      <c r="M9" s="55"/>
      <c r="P9" s="55"/>
      <c r="Q9" s="55"/>
      <c r="R9" s="55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74" t="s">
        <v>21</v>
      </c>
      <c r="B10" s="78">
        <f>B2*D10</f>
        <v>400000</v>
      </c>
      <c r="C10" s="74" t="s">
        <v>22</v>
      </c>
      <c r="D10" s="77">
        <f> IF(C3="Underweight", IF(B1="Conservative", 0.7, IF(B1="Moderate", 0.6, 0.5)), IF(C3="Neutral", IF(B1="Conservative", 0.6, IF(B1="Moderate", 0.4, 0.2)), IF(B1="Conservative", 0.5, IF(B1="Moderate", 0.2, 0))))</f>
        <v>0.4</v>
      </c>
      <c r="E10" s="64"/>
      <c r="F10" s="65"/>
      <c r="H10" s="4"/>
      <c r="I10" s="4"/>
      <c r="J10" s="4"/>
      <c r="K10" s="4"/>
      <c r="L10" s="4"/>
      <c r="M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74" t="s">
        <v>23</v>
      </c>
      <c r="B11" s="78">
        <f>B2*D11</f>
        <v>200000</v>
      </c>
      <c r="C11" s="74" t="s">
        <v>24</v>
      </c>
      <c r="D11" s="77">
        <f> IF(C3="Underweight", IF(B1="Conservative", 0.2, IF(B1="Moderate", 0.2, 0.2)), IF(C3="Neutral", IF(B1="Conservative", 0.2, IF(B1="Moderate", 0.2, 0.2)), IF(B1="Conservative", 0.2, IF(B1="Moderate", 0.2, 0.1))))</f>
        <v>0.2</v>
      </c>
      <c r="E11" s="79"/>
      <c r="F11" s="80"/>
      <c r="G11" s="4"/>
      <c r="H11" s="4"/>
      <c r="I11" s="4"/>
      <c r="J11" s="4"/>
      <c r="K11" s="4"/>
      <c r="L11" s="4"/>
      <c r="M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81"/>
      <c r="B12" s="81"/>
      <c r="C12" s="81"/>
      <c r="D12" s="81"/>
      <c r="E12" s="82"/>
      <c r="F12" s="11"/>
      <c r="G12" s="4"/>
      <c r="H12" s="4"/>
      <c r="I12" s="4"/>
      <c r="J12" s="4"/>
      <c r="K12" s="4"/>
      <c r="L12" s="4"/>
      <c r="M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74"/>
      <c r="B13" s="75"/>
      <c r="C13" s="76"/>
      <c r="D13" s="77"/>
      <c r="E13" s="82"/>
      <c r="F13" s="11"/>
      <c r="G13" s="4"/>
      <c r="H13" s="4"/>
      <c r="I13" s="4"/>
      <c r="J13" s="4"/>
      <c r="K13" s="4"/>
      <c r="L13" s="4"/>
      <c r="M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74"/>
      <c r="B14" s="75"/>
      <c r="C14" s="74"/>
      <c r="D14" s="83"/>
      <c r="E14" s="82"/>
      <c r="F14" s="11"/>
      <c r="G14" s="4"/>
      <c r="H14" s="4"/>
      <c r="I14" s="4"/>
      <c r="J14" s="4"/>
      <c r="K14" s="4"/>
      <c r="L14" s="4"/>
      <c r="M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74"/>
      <c r="B15" s="84"/>
      <c r="C15" s="74"/>
      <c r="D15" s="77"/>
      <c r="E15" s="82"/>
      <c r="F15" s="11"/>
      <c r="G15" s="4"/>
      <c r="H15" s="4"/>
      <c r="I15" s="4"/>
      <c r="J15" s="4"/>
      <c r="K15" s="4"/>
      <c r="L15" s="4"/>
      <c r="M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81"/>
      <c r="B16" s="81"/>
      <c r="C16" s="81"/>
      <c r="D16" s="81"/>
      <c r="E16" s="82"/>
      <c r="F16" s="11"/>
      <c r="G16" s="4"/>
      <c r="H16" s="4"/>
      <c r="I16" s="4"/>
      <c r="J16" s="4"/>
      <c r="K16" s="4"/>
      <c r="L16" s="4"/>
      <c r="M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C71" s="8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C72" s="8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C73" s="8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C74" s="8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C75" s="8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C76" s="8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C77" s="8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C78" s="8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C79" s="8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C80" s="8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C81" s="8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C82" s="8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C83" s="8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C84" s="8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C86" s="8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C87" s="8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C88" s="8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C89" s="8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C90" s="8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C91" s="8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C92" s="8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C93" s="8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C94" s="8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C95" s="8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C96" s="8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C97" s="8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C98" s="8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C100" s="8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C101" s="8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C102" s="8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C103" s="8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C104" s="8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C105" s="8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</sheetData>
  <conditionalFormatting sqref="C3">
    <cfRule type="containsText" dxfId="8" priority="1" operator="containsText" text="Overweight">
      <formula>NOT(ISERROR(SEARCH(("Overweight"),(C3))))</formula>
    </cfRule>
  </conditionalFormatting>
  <conditionalFormatting sqref="C3">
    <cfRule type="containsText" dxfId="9" priority="2" operator="containsText" text="Underweight">
      <formula>NOT(ISERROR(SEARCH(("Underweight"),(C3))))</formula>
    </cfRule>
  </conditionalFormatting>
  <conditionalFormatting sqref="C3">
    <cfRule type="containsText" dxfId="10" priority="3" operator="containsText" text="Neutral">
      <formula>NOT(ISERROR(SEARCH(("Neutral"),(C3))))</formula>
    </cfRule>
  </conditionalFormatting>
  <conditionalFormatting sqref="C4:C7">
    <cfRule type="containsText" dxfId="9" priority="4" operator="containsText" text="Underweight">
      <formula>NOT(ISERROR(SEARCH(("Underweight"),(C4))))</formula>
    </cfRule>
  </conditionalFormatting>
  <conditionalFormatting sqref="C4:C7">
    <cfRule type="containsText" dxfId="10" priority="5" operator="containsText" text="Neutral">
      <formula>NOT(ISERROR(SEARCH(("Neutral"),(C4))))</formula>
    </cfRule>
  </conditionalFormatting>
  <conditionalFormatting sqref="C4:C7">
    <cfRule type="containsText" dxfId="8" priority="6" operator="containsText" text="Overweight">
      <formula>NOT(ISERROR(SEARCH(("Overweight"),(C4))))</formula>
    </cfRule>
  </conditionalFormatting>
  <dataValidations>
    <dataValidation type="list" allowBlank="1" showInputMessage="1" showErrorMessage="1" prompt="Click and enter a value from the list of items" sqref="B1">
      <formula1>"Conservative,Moderate,Growth"</formula1>
    </dataValidation>
    <dataValidation type="decimal" allowBlank="1" showDropDown="1" showErrorMessage="1" sqref="B4:B7">
      <formula1>0.0</formula1>
      <formula2>100.0</formula2>
    </dataValidation>
    <dataValidation type="decimal" allowBlank="1" showDropDown="1" showInputMessage="1" showErrorMessage="1" prompt="Enter a number between 0 and 100" sqref="B3">
      <formula1>0.0</formula1>
      <formula2>100.0</formula2>
    </dataValidation>
  </dataValidations>
  <printOptions horizontalCentered="1"/>
  <pageMargins bottom="0.75" footer="0.0" header="0.0" left="0.25" right="0.25" top="0.75"/>
  <pageSetup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2.0"/>
    <col customWidth="1" min="3" max="3" width="16.43"/>
    <col customWidth="1" min="4" max="4" width="13.43"/>
    <col customWidth="1" min="5" max="5" width="20.29"/>
    <col customWidth="1" min="6" max="6" width="8.86"/>
    <col customWidth="1" min="7" max="7" width="17.43"/>
    <col customWidth="1" min="8" max="8" width="15.86"/>
    <col customWidth="1" min="9" max="27" width="8.86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tr">
        <f>IFERROR(__xludf.DUMMYFUNCTION(" IF(QUERY(Home!C3)=""Neutral"", ""Neutral (Active)"", ""Neutral"")"),"Neutral (Active)")</f>
        <v>Neutral (Active)</v>
      </c>
      <c r="B2" s="6"/>
      <c r="C2" s="6"/>
      <c r="D2" s="6"/>
      <c r="E2" s="6"/>
      <c r="F2" s="6"/>
      <c r="G2" s="6"/>
      <c r="H2" s="6"/>
      <c r="I2" s="6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 t="s">
        <v>2</v>
      </c>
      <c r="B3" s="2"/>
      <c r="C3" s="2"/>
      <c r="D3" s="2"/>
      <c r="E3" s="2"/>
      <c r="F3" s="2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 t="str">
        <f>IFERROR(__xludf.DUMMYFUNCTION("Query('Source Data'!C2)"),"QLRIX")</f>
        <v>QLRIX</v>
      </c>
      <c r="B4" s="14" t="s">
        <v>3</v>
      </c>
      <c r="C4" s="17">
        <f>IFERROR(__xludf.DUMMYFUNCTION(" Query('Source Data'!F2)"),0.166)</f>
        <v>0.166</v>
      </c>
      <c r="D4" s="19">
        <f>IFERROR(__xludf.DUMMYFUNCTION(" QUERY(Home!B9) * C4"),66400.0)</f>
        <v>66400</v>
      </c>
      <c r="E4" s="2"/>
      <c r="F4" s="2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3" t="str">
        <f>IFERROR(__xludf.DUMMYFUNCTION("Query('Source Data'!C3)"),"QSRIX")</f>
        <v>QSRIX</v>
      </c>
      <c r="B5" s="14" t="s">
        <v>3</v>
      </c>
      <c r="C5" s="17">
        <f>IFERROR(__xludf.DUMMYFUNCTION(" Query('Source Data'!F3)"),0.222)</f>
        <v>0.222</v>
      </c>
      <c r="D5" s="19">
        <f>IFERROR(__xludf.DUMMYFUNCTION(" QUERY(Home!B9) * C5"),88800.0)</f>
        <v>88800</v>
      </c>
      <c r="E5" s="2"/>
      <c r="F5" s="2"/>
      <c r="G5" s="2"/>
      <c r="H5" s="2"/>
      <c r="I5" s="2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3" t="str">
        <f>IFERROR(__xludf.DUMMYFUNCTION("Query('Source Data'!C4)"),"PRUFX")</f>
        <v>PRUFX</v>
      </c>
      <c r="B6" s="14" t="s">
        <v>3</v>
      </c>
      <c r="C6" s="17">
        <f>IFERROR(__xludf.DUMMYFUNCTION(" Query('Source Data'!F4)"),0.222)</f>
        <v>0.222</v>
      </c>
      <c r="D6" s="19">
        <f>IFERROR(__xludf.DUMMYFUNCTION(" QUERY(Home!B9) * C6"),88800.0)</f>
        <v>88800</v>
      </c>
      <c r="E6" s="2"/>
      <c r="F6" s="2"/>
      <c r="G6" s="2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3" t="str">
        <f>IFERROR(__xludf.DUMMYFUNCTION("Query('Source Data'!C5)"),"DFLVX")</f>
        <v>DFLVX</v>
      </c>
      <c r="B7" s="14" t="s">
        <v>3</v>
      </c>
      <c r="C7" s="17">
        <f>IFERROR(__xludf.DUMMYFUNCTION(" Query('Source Data'!F5)"),0.0)</f>
        <v>0</v>
      </c>
      <c r="D7" s="19">
        <f>IFERROR(__xludf.DUMMYFUNCTION(" QUERY(Home!B9) * C7"),0.0)</f>
        <v>0</v>
      </c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3" t="str">
        <f>IFERROR(__xludf.DUMMYFUNCTION("Query('Source Data'!C6)"),"QIRIX")</f>
        <v>QIRIX</v>
      </c>
      <c r="B8" s="14" t="s">
        <v>3</v>
      </c>
      <c r="C8" s="17">
        <f>IFERROR(__xludf.DUMMYFUNCTION(" Query('Source Data'!F6)"),0.0)</f>
        <v>0</v>
      </c>
      <c r="D8" s="19">
        <f>IFERROR(__xludf.DUMMYFUNCTION(" QUERY(Home!B9) * C8"),0.0)</f>
        <v>0</v>
      </c>
      <c r="E8" s="2"/>
      <c r="F8" s="2"/>
      <c r="G8" s="2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3" t="str">
        <f>IFERROR(__xludf.DUMMYFUNCTION("Query('Source Data'!C7)"),"QERIX")</f>
        <v>QERIX</v>
      </c>
      <c r="B9" s="14" t="s">
        <v>3</v>
      </c>
      <c r="C9" s="17">
        <f>IFERROR(__xludf.DUMMYFUNCTION(" Query('Source Data'!F7)"),0.111)</f>
        <v>0.111</v>
      </c>
      <c r="D9" s="19">
        <f>IFERROR(__xludf.DUMMYFUNCTION(" QUERY(Home!B9) * C9"),44400.0)</f>
        <v>44400</v>
      </c>
      <c r="E9" s="2"/>
      <c r="F9" s="2"/>
      <c r="G9" s="2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3" t="str">
        <f>IFERROR(__xludf.DUMMYFUNCTION("Query('Source Data'!C8)"),"AUEIX")</f>
        <v>AUEIX</v>
      </c>
      <c r="B10" s="14" t="s">
        <v>3</v>
      </c>
      <c r="C10" s="17">
        <f>IFERROR(__xludf.DUMMYFUNCTION(" Query('Source Data'!F8)"),0.0)</f>
        <v>0</v>
      </c>
      <c r="D10" s="19">
        <f>IFERROR(__xludf.DUMMYFUNCTION(" QUERY(Home!B9) * C10"),0.0)</f>
        <v>0</v>
      </c>
      <c r="E10" s="2"/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 t="str">
        <f>IFERROR(__xludf.DUMMYFUNCTION("Query('Source Data'!C9)"),"ANDIX")</f>
        <v>ANDIX</v>
      </c>
      <c r="B11" s="14" t="s">
        <v>3</v>
      </c>
      <c r="C11" s="17">
        <f>IFERROR(__xludf.DUMMYFUNCTION(" Query('Source Data'!F9)"),0.0)</f>
        <v>0</v>
      </c>
      <c r="D11" s="19">
        <f>IFERROR(__xludf.DUMMYFUNCTION(" QUERY(Home!B9) * C11"),0.0)</f>
        <v>0</v>
      </c>
      <c r="E11" s="2"/>
      <c r="F11" s="2"/>
      <c r="G11" s="2"/>
      <c r="H11" s="2"/>
      <c r="I11" s="2"/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 t="str">
        <f>IFERROR(__xludf.DUMMYFUNCTION("Query('Source Data'!C10)"),"DFCEX")</f>
        <v>DFCEX</v>
      </c>
      <c r="B12" s="14" t="s">
        <v>3</v>
      </c>
      <c r="C12" s="17">
        <f>IFERROR(__xludf.DUMMYFUNCTION(" Query('Source Data'!F10)"),0.0)</f>
        <v>0</v>
      </c>
      <c r="D12" s="19">
        <f>IFERROR(__xludf.DUMMYFUNCTION(" QUERY(Home!B9) * C12"),0.0)</f>
        <v>0</v>
      </c>
      <c r="E12" s="2"/>
      <c r="F12" s="2"/>
      <c r="G12" s="2"/>
      <c r="H12" s="2"/>
      <c r="I12" s="2"/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 t="str">
        <f>IFERROR(__xludf.DUMMYFUNCTION("Query('Source Data'!C11)"),"DFSTX")</f>
        <v>DFSTX</v>
      </c>
      <c r="B13" s="14" t="s">
        <v>3</v>
      </c>
      <c r="C13" s="17">
        <f>IFERROR(__xludf.DUMMYFUNCTION(" Query('Source Data'!F11)"),0.0)</f>
        <v>0</v>
      </c>
      <c r="D13" s="19">
        <f>IFERROR(__xludf.DUMMYFUNCTION(" QUERY(Home!B9) * C13"),0.0)</f>
        <v>0</v>
      </c>
      <c r="E13" s="2"/>
      <c r="F13" s="2"/>
      <c r="G13" s="2"/>
      <c r="H13" s="2"/>
      <c r="I13" s="2"/>
      <c r="J13" s="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3" t="str">
        <f>IFERROR(__xludf.DUMMYFUNCTION("Query('Source Data'!C12)"),"AMOMX")</f>
        <v>AMOMX</v>
      </c>
      <c r="B14" s="14" t="s">
        <v>3</v>
      </c>
      <c r="C14" s="17">
        <f>IFERROR(__xludf.DUMMYFUNCTION(" Query('Source Data'!F12)"),0.0)</f>
        <v>0</v>
      </c>
      <c r="D14" s="19">
        <f>IFERROR(__xludf.DUMMYFUNCTION(" QUERY(Home!B9) * C14"),0.0)</f>
        <v>0</v>
      </c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3" t="str">
        <f>IFERROR(__xludf.DUMMYFUNCTION("Query('Source Data'!C13)"),"ASMOX")</f>
        <v>ASMOX</v>
      </c>
      <c r="B15" s="14" t="s">
        <v>3</v>
      </c>
      <c r="C15" s="17">
        <f>IFERROR(__xludf.DUMMYFUNCTION(" Query('Source Data'!F13)"),0.0)</f>
        <v>0</v>
      </c>
      <c r="D15" s="19">
        <f>IFERROR(__xludf.DUMMYFUNCTION(" QUERY(Home!B9) * C15"),0.0)</f>
        <v>0</v>
      </c>
      <c r="E15" s="2"/>
      <c r="F15" s="2"/>
      <c r="G15" s="2"/>
      <c r="H15" s="2"/>
      <c r="I15" s="2"/>
      <c r="J15" s="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3" t="str">
        <f>IFERROR(__xludf.DUMMYFUNCTION("Query('Source Data'!C14)"),"FATIX")</f>
        <v>FATIX</v>
      </c>
      <c r="B16" s="14" t="s">
        <v>3</v>
      </c>
      <c r="C16" s="17">
        <f>IFERROR(__xludf.DUMMYFUNCTION(" Query('Source Data'!F14)"),0.0)</f>
        <v>0</v>
      </c>
      <c r="D16" s="19">
        <f>IFERROR(__xludf.DUMMYFUNCTION(" QUERY(Home!B9) * C16"),0.0)</f>
        <v>0</v>
      </c>
      <c r="E16" s="2"/>
      <c r="F16" s="2"/>
      <c r="G16" s="2"/>
      <c r="H16" s="2"/>
      <c r="I16" s="2"/>
      <c r="J16" s="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3" t="str">
        <f>IFERROR(__xludf.DUMMYFUNCTION("Query('Source Data'!C15)"),"AIMOX")</f>
        <v>AIMOX</v>
      </c>
      <c r="B17" s="14" t="s">
        <v>3</v>
      </c>
      <c r="C17" s="17">
        <f>IFERROR(__xludf.DUMMYFUNCTION(" Query('Source Data'!F15)"),0.0)</f>
        <v>0</v>
      </c>
      <c r="D17" s="19">
        <f>IFERROR(__xludf.DUMMYFUNCTION(" QUERY(Home!B9) * C17"),0.0)</f>
        <v>0</v>
      </c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3" t="str">
        <f>IFERROR(__xludf.DUMMYFUNCTION("Query('Source Data'!C16)"),"QEMLX")</f>
        <v>QEMLX</v>
      </c>
      <c r="B18" s="14" t="s">
        <v>3</v>
      </c>
      <c r="C18" s="17">
        <f>IFERROR(__xludf.DUMMYFUNCTION(" Query('Source Data'!F16)"),0.0)</f>
        <v>0</v>
      </c>
      <c r="D18" s="19">
        <f>IFERROR(__xludf.DUMMYFUNCTION(" QUERY(Home!B9) * C18"),0.0)</f>
        <v>0</v>
      </c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3" t="str">
        <f>IFERROR(__xludf.DUMMYFUNCTION("Query('Source Data'!C17)"),"PEDIX")</f>
        <v>PEDIX</v>
      </c>
      <c r="B19" s="14" t="s">
        <v>5</v>
      </c>
      <c r="C19" s="17">
        <f>IFERROR(__xludf.DUMMYFUNCTION(" Query('Source Data'!F17)"),0.0)</f>
        <v>0</v>
      </c>
      <c r="D19" s="19">
        <f>IFERROR(__xludf.DUMMYFUNCTION(" QUERY(Home!B9) * C19"),0.0)</f>
        <v>0</v>
      </c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3" t="str">
        <f>IFERROR(__xludf.DUMMYFUNCTION("Query('Source Data'!C18)"),"PTSHX")</f>
        <v>PTSHX</v>
      </c>
      <c r="B20" s="14" t="s">
        <v>5</v>
      </c>
      <c r="C20" s="17">
        <f>IFERROR(__xludf.DUMMYFUNCTION(" Query('Source Data'!F18)"),0.047)</f>
        <v>0.047</v>
      </c>
      <c r="D20" s="19">
        <f>IFERROR(__xludf.DUMMYFUNCTION(" QUERY(Home!B9) * C20"),18800.0)</f>
        <v>18800</v>
      </c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3" t="str">
        <f>IFERROR(__xludf.DUMMYFUNCTION("Query('Source Data'!C19)"),"PIGIX")</f>
        <v>PIGIX</v>
      </c>
      <c r="B21" s="14" t="s">
        <v>5</v>
      </c>
      <c r="C21" s="17">
        <f>IFERROR(__xludf.DUMMYFUNCTION(" Query('Source Data'!F19)"),0.0)</f>
        <v>0</v>
      </c>
      <c r="D21" s="19">
        <f>IFERROR(__xludf.DUMMYFUNCTION(" QUERY(Home!B9) * C21"),0.0)</f>
        <v>0</v>
      </c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3" t="str">
        <f>IFERROR(__xludf.DUMMYFUNCTION("Query('Source Data'!C20)"),"PHSIX")</f>
        <v>PHSIX</v>
      </c>
      <c r="B22" s="14" t="s">
        <v>5</v>
      </c>
      <c r="C22" s="17">
        <f>IFERROR(__xludf.DUMMYFUNCTION(" Query('Source Data'!F20)"),0.07)</f>
        <v>0.07</v>
      </c>
      <c r="D22" s="19">
        <f>IFERROR(__xludf.DUMMYFUNCTION(" QUERY(Home!B9) * C22"),28000.000000000004)</f>
        <v>28000</v>
      </c>
      <c r="E22" s="2"/>
      <c r="F22" s="2"/>
      <c r="G22" s="2"/>
      <c r="H22" s="2"/>
      <c r="I22" s="2"/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3" t="str">
        <f>IFERROR(__xludf.DUMMYFUNCTION("Query('Source Data'!C21)"),"PEBIX")</f>
        <v>PEBIX</v>
      </c>
      <c r="B23" s="14" t="s">
        <v>5</v>
      </c>
      <c r="C23" s="17">
        <f>IFERROR(__xludf.DUMMYFUNCTION(" Query('Source Data'!F21)"),0.023)</f>
        <v>0.023</v>
      </c>
      <c r="D23" s="19">
        <f>IFERROR(__xludf.DUMMYFUNCTION(" QUERY(Home!B9) * C23"),9200.0)</f>
        <v>9200</v>
      </c>
      <c r="E23" s="2"/>
      <c r="F23" s="2"/>
      <c r="G23" s="2"/>
      <c r="H23" s="2"/>
      <c r="I23" s="2"/>
      <c r="J23" s="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3" t="str">
        <f>IFERROR(__xludf.DUMMYFUNCTION("Query('Source Data'!C22)"),"PFORX")</f>
        <v>PFORX</v>
      </c>
      <c r="B24" s="14" t="s">
        <v>5</v>
      </c>
      <c r="C24" s="17">
        <f>IFERROR(__xludf.DUMMYFUNCTION(" Query('Source Data'!F22)"),0.093)</f>
        <v>0.093</v>
      </c>
      <c r="D24" s="19">
        <f>IFERROR(__xludf.DUMMYFUNCTION(" QUERY(Home!B9) * C24"),37200.0)</f>
        <v>37200</v>
      </c>
      <c r="E24" s="2"/>
      <c r="F24" s="2"/>
      <c r="G24" s="2"/>
      <c r="H24" s="2"/>
      <c r="I24" s="2"/>
      <c r="J24" s="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3" t="str">
        <f>IFERROR(__xludf.DUMMYFUNCTION("Query('Source Data'!C23)"),"PAIDX")</f>
        <v>PAIDX</v>
      </c>
      <c r="B25" s="23" t="s">
        <v>4</v>
      </c>
      <c r="C25" s="17">
        <f>IFERROR(__xludf.DUMMYFUNCTION(" Query('Source Data'!F23)"),0.046)</f>
        <v>0.046</v>
      </c>
      <c r="D25" s="19">
        <f>IFERROR(__xludf.DUMMYFUNCTION(" QUERY(Home!B9) * C25"),18400.0)</f>
        <v>18400</v>
      </c>
      <c r="E25" s="2"/>
      <c r="F25" s="2"/>
      <c r="G25" s="2"/>
      <c r="H25" s="2"/>
      <c r="I25" s="2"/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3" t="str">
        <f>IFERROR(__xludf.DUMMYFUNCTION("Query('Source Data'!C24)"),"ARCIX")</f>
        <v>ARCIX</v>
      </c>
      <c r="B26" s="24"/>
      <c r="C26" s="17">
        <f>IFERROR(__xludf.DUMMYFUNCTION(" Query('Source Data'!F24)"),0.0)</f>
        <v>0</v>
      </c>
      <c r="D26" s="19">
        <f>IFERROR(__xludf.DUMMYFUNCTION(" QUERY(Home!B9) * C26"),0.0)</f>
        <v>0</v>
      </c>
      <c r="E26" s="25"/>
      <c r="F26" s="26"/>
      <c r="G26" s="26"/>
      <c r="H26" s="2"/>
      <c r="I26" s="2"/>
      <c r="J26" s="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3" t="str">
        <f>IFERROR(__xludf.DUMMYFUNCTION("Query('Source Data'!C25)"),"VGPMX")</f>
        <v>VGPMX</v>
      </c>
      <c r="B27" s="24"/>
      <c r="C27" s="17">
        <f>IFERROR(__xludf.DUMMYFUNCTION(" Query('Source Data'!F25)"),0.0)</f>
        <v>0</v>
      </c>
      <c r="D27" s="19">
        <f>IFERROR(__xludf.DUMMYFUNCTION(" QUERY(Home!B9) * C27"),0.0)</f>
        <v>0</v>
      </c>
      <c r="E27" s="25"/>
      <c r="F27" s="26"/>
      <c r="G27" s="26"/>
      <c r="H27" s="2"/>
      <c r="I27" s="2"/>
      <c r="J27" s="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3" t="str">
        <f>IFERROR(__xludf.DUMMYFUNCTION("Query('Source Data'!C26)"),"PBRIX")</f>
        <v>PBRIX</v>
      </c>
      <c r="B28" s="2"/>
      <c r="C28" s="17">
        <v>0.0</v>
      </c>
      <c r="D28" s="27">
        <v>0.0</v>
      </c>
      <c r="E28" s="25"/>
      <c r="F28" s="26"/>
      <c r="G28" s="26"/>
      <c r="H28" s="2"/>
      <c r="I28" s="2"/>
      <c r="J28" s="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"/>
      <c r="B29" s="2"/>
      <c r="C29" s="28">
        <f t="shared" ref="C29:D29" si="1">sum(C4:C25)</f>
        <v>1</v>
      </c>
      <c r="D29" s="29">
        <f t="shared" si="1"/>
        <v>400000</v>
      </c>
      <c r="E29" s="2"/>
      <c r="F29" s="2"/>
      <c r="G29" s="2"/>
      <c r="H29" s="2"/>
      <c r="I29" s="2"/>
      <c r="J29" s="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 t="str">
        <f>IFERROR(__xludf.DUMMYFUNCTION(" IF(QUERY(Home!C3)=""Underweight"", ""Underweight (Active)"", ""Underweight"")"),"Underweight")</f>
        <v>Underweight</v>
      </c>
      <c r="B31" s="6"/>
      <c r="C31" s="6"/>
      <c r="D31" s="6"/>
      <c r="E31" s="6"/>
      <c r="F31" s="6"/>
      <c r="G31" s="6"/>
      <c r="H31" s="6"/>
      <c r="I31" s="6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9" t="s">
        <v>6</v>
      </c>
      <c r="B32" s="1"/>
      <c r="C32" s="2"/>
      <c r="D32" s="2"/>
      <c r="E32" s="2"/>
      <c r="F32" s="2"/>
      <c r="G32" s="2"/>
      <c r="H32" s="2"/>
      <c r="I32" s="2"/>
      <c r="J32" s="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9" t="s">
        <v>7</v>
      </c>
      <c r="B33" s="1"/>
      <c r="C33" s="36"/>
      <c r="D33" s="2"/>
      <c r="E33" s="2"/>
      <c r="F33" s="2"/>
      <c r="G33" s="2"/>
      <c r="H33" s="2"/>
      <c r="I33" s="2"/>
      <c r="J33" s="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0" t="str">
        <f>IFERROR(__xludf.DUMMYFUNCTION("Query('Source Data'!C2)"),"QLRIX")</f>
        <v>QLRIX</v>
      </c>
      <c r="B34" s="37" t="s">
        <v>3</v>
      </c>
      <c r="C34" s="38">
        <f>IFERROR(__xludf.DUMMYFUNCTION(" Query('Source Data'!H2)"),0.0)</f>
        <v>0</v>
      </c>
      <c r="D34" s="35">
        <f>IFERROR(__xludf.DUMMYFUNCTION(" QUERY(Home!B9) * C34"),0.0)</f>
        <v>0</v>
      </c>
      <c r="E34" s="2"/>
      <c r="F34" s="2"/>
      <c r="G34" s="2"/>
      <c r="H34" s="2"/>
      <c r="I34" s="2"/>
      <c r="J34" s="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0" t="str">
        <f>IFERROR(__xludf.DUMMYFUNCTION("Query('Source Data'!C3)"),"QSRIX")</f>
        <v>QSRIX</v>
      </c>
      <c r="B35" s="37" t="s">
        <v>3</v>
      </c>
      <c r="C35" s="38">
        <f>IFERROR(__xludf.DUMMYFUNCTION(" Query('Source Data'!H3)"),0.0)</f>
        <v>0</v>
      </c>
      <c r="D35" s="35">
        <f>IFERROR(__xludf.DUMMYFUNCTION(" QUERY(Home!B9) * C35"),0.0)</f>
        <v>0</v>
      </c>
      <c r="E35" s="2"/>
      <c r="F35" s="2"/>
      <c r="G35" s="2"/>
      <c r="H35" s="2"/>
      <c r="I35" s="2"/>
      <c r="J35" s="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0" t="str">
        <f>IFERROR(__xludf.DUMMYFUNCTION("Query('Source Data'!C4)"),"PRUFX")</f>
        <v>PRUFX</v>
      </c>
      <c r="B36" s="37" t="s">
        <v>3</v>
      </c>
      <c r="C36" s="38">
        <f>IFERROR(__xludf.DUMMYFUNCTION(" Query('Source Data'!H4)"),0.055499999445)</f>
        <v>0.05549999945</v>
      </c>
      <c r="D36" s="35">
        <f>IFERROR(__xludf.DUMMYFUNCTION(" QUERY(Home!B9) * C36"),22199.999778)</f>
        <v>22199.99978</v>
      </c>
      <c r="E36" s="2"/>
      <c r="F36" s="2"/>
      <c r="G36" s="2"/>
      <c r="H36" s="2"/>
      <c r="I36" s="2"/>
      <c r="J36" s="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0" t="str">
        <f>IFERROR(__xludf.DUMMYFUNCTION("Query('Source Data'!C5)"),"DFLVX")</f>
        <v>DFLVX</v>
      </c>
      <c r="B37" s="37" t="s">
        <v>3</v>
      </c>
      <c r="C37" s="38">
        <f>IFERROR(__xludf.DUMMYFUNCTION(" Query('Source Data'!H5)"),0.0)</f>
        <v>0</v>
      </c>
      <c r="D37" s="35">
        <f>IFERROR(__xludf.DUMMYFUNCTION(" QUERY(Home!B9) * C37"),0.0)</f>
        <v>0</v>
      </c>
      <c r="E37" s="2"/>
      <c r="F37" s="2"/>
      <c r="G37" s="2"/>
      <c r="H37" s="2"/>
      <c r="I37" s="2"/>
      <c r="J37" s="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0" t="str">
        <f>IFERROR(__xludf.DUMMYFUNCTION("Query('Source Data'!C6)"),"QIRIX")</f>
        <v>QIRIX</v>
      </c>
      <c r="B38" s="37" t="s">
        <v>3</v>
      </c>
      <c r="C38" s="38">
        <f>IFERROR(__xludf.DUMMYFUNCTION(" Query('Source Data'!H6)"),0.0)</f>
        <v>0</v>
      </c>
      <c r="D38" s="35">
        <f>IFERROR(__xludf.DUMMYFUNCTION(" QUERY(Home!B9) * C38"),0.0)</f>
        <v>0</v>
      </c>
      <c r="E38" s="2"/>
      <c r="F38" s="2"/>
      <c r="G38" s="2"/>
      <c r="H38" s="2"/>
      <c r="I38" s="2"/>
      <c r="J38" s="2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0" t="str">
        <f>IFERROR(__xludf.DUMMYFUNCTION("Query('Source Data'!C7)"),"QERIX")</f>
        <v>QERIX</v>
      </c>
      <c r="B39" s="37" t="s">
        <v>3</v>
      </c>
      <c r="C39" s="38">
        <f>IFERROR(__xludf.DUMMYFUNCTION(" Query('Source Data'!H7)"),0.0)</f>
        <v>0</v>
      </c>
      <c r="D39" s="35">
        <f>IFERROR(__xludf.DUMMYFUNCTION(" QUERY(Home!B9) * C39"),0.0)</f>
        <v>0</v>
      </c>
      <c r="E39" s="2"/>
      <c r="F39" s="2"/>
      <c r="G39" s="2"/>
      <c r="H39" s="2"/>
      <c r="I39" s="2"/>
      <c r="J39" s="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0" t="str">
        <f>IFERROR(__xludf.DUMMYFUNCTION("Query('Source Data'!C8)"),"AUEIX")</f>
        <v>AUEIX</v>
      </c>
      <c r="B40" s="37" t="s">
        <v>3</v>
      </c>
      <c r="C40" s="38">
        <f>IFERROR(__xludf.DUMMYFUNCTION(" Query('Source Data'!H8)"),0.041499999584999996)</f>
        <v>0.04149999959</v>
      </c>
      <c r="D40" s="35">
        <f>IFERROR(__xludf.DUMMYFUNCTION(" QUERY(Home!B9) * C40"),16599.999834)</f>
        <v>16599.99983</v>
      </c>
      <c r="E40" s="2"/>
      <c r="F40" s="2"/>
      <c r="G40" s="2"/>
      <c r="H40" s="2"/>
      <c r="I40" s="2"/>
      <c r="J40" s="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0" t="str">
        <f>IFERROR(__xludf.DUMMYFUNCTION("Query('Source Data'!C9)"),"ANDIX")</f>
        <v>ANDIX</v>
      </c>
      <c r="B41" s="37" t="s">
        <v>3</v>
      </c>
      <c r="C41" s="38">
        <f>IFERROR(__xludf.DUMMYFUNCTION(" Query('Source Data'!H9)"),0.0)</f>
        <v>0</v>
      </c>
      <c r="D41" s="35">
        <f>IFERROR(__xludf.DUMMYFUNCTION(" QUERY(Home!B9) * C41"),0.0)</f>
        <v>0</v>
      </c>
      <c r="E41" s="2"/>
      <c r="F41" s="2"/>
      <c r="G41" s="2"/>
      <c r="H41" s="2"/>
      <c r="I41" s="2"/>
      <c r="J41" s="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20" t="str">
        <f>IFERROR(__xludf.DUMMYFUNCTION("Query('Source Data'!C10)"),"DFCEX")</f>
        <v>DFCEX</v>
      </c>
      <c r="B42" s="37" t="s">
        <v>3</v>
      </c>
      <c r="C42" s="38">
        <f>IFERROR(__xludf.DUMMYFUNCTION(" Query('Source Data'!H10)"),0.0277499997225)</f>
        <v>0.02774999972</v>
      </c>
      <c r="D42" s="35">
        <f>IFERROR(__xludf.DUMMYFUNCTION(" QUERY(Home!B9) * C42"),11099.999889)</f>
        <v>11099.99989</v>
      </c>
      <c r="E42" s="2"/>
      <c r="F42" s="2"/>
      <c r="G42" s="2"/>
      <c r="H42" s="2"/>
      <c r="I42" s="2"/>
      <c r="J42" s="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0" t="str">
        <f>IFERROR(__xludf.DUMMYFUNCTION("Query('Source Data'!C11)"),"DFSTX")</f>
        <v>DFSTX</v>
      </c>
      <c r="B43" s="37" t="s">
        <v>3</v>
      </c>
      <c r="C43" s="38">
        <f>IFERROR(__xludf.DUMMYFUNCTION(" Query('Source Data'!H11)"),0.055499999445)</f>
        <v>0.05549999945</v>
      </c>
      <c r="D43" s="35">
        <f>IFERROR(__xludf.DUMMYFUNCTION(" QUERY(Home!B9) * C43"),22199.999778)</f>
        <v>22199.99978</v>
      </c>
      <c r="E43" s="2"/>
      <c r="F43" s="2"/>
      <c r="G43" s="2"/>
      <c r="H43" s="2"/>
      <c r="I43" s="2"/>
      <c r="J43" s="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0" t="str">
        <f>IFERROR(__xludf.DUMMYFUNCTION("Query('Source Data'!C12)"),"AMOMX")</f>
        <v>AMOMX</v>
      </c>
      <c r="B44" s="37" t="s">
        <v>3</v>
      </c>
      <c r="C44" s="38">
        <f>IFERROR(__xludf.DUMMYFUNCTION(" Query('Source Data'!H12)"),0.0)</f>
        <v>0</v>
      </c>
      <c r="D44" s="35">
        <f>IFERROR(__xludf.DUMMYFUNCTION(" QUERY(Home!B9) * C44"),0.0)</f>
        <v>0</v>
      </c>
      <c r="E44" s="2"/>
      <c r="F44" s="2"/>
      <c r="G44" s="2"/>
      <c r="H44" s="2"/>
      <c r="I44" s="2"/>
      <c r="J44" s="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0" t="str">
        <f>IFERROR(__xludf.DUMMYFUNCTION("Query('Source Data'!C13)"),"ASMOX")</f>
        <v>ASMOX</v>
      </c>
      <c r="B45" s="37" t="s">
        <v>3</v>
      </c>
      <c r="C45" s="38">
        <f>IFERROR(__xludf.DUMMYFUNCTION(" Query('Source Data'!H13)"),0.0)</f>
        <v>0</v>
      </c>
      <c r="D45" s="35">
        <f>IFERROR(__xludf.DUMMYFUNCTION(" QUERY(Home!B9) * C45"),0.0)</f>
        <v>0</v>
      </c>
      <c r="E45" s="2"/>
      <c r="F45" s="2"/>
      <c r="G45" s="2"/>
      <c r="H45" s="2"/>
      <c r="I45" s="2"/>
      <c r="J45" s="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0" t="str">
        <f>IFERROR(__xludf.DUMMYFUNCTION("Query('Source Data'!C14)"),"FATIX")</f>
        <v>FATIX</v>
      </c>
      <c r="B46" s="37" t="s">
        <v>3</v>
      </c>
      <c r="C46" s="38">
        <f>IFERROR(__xludf.DUMMYFUNCTION(" Query('Source Data'!H14)"),0.0)</f>
        <v>0</v>
      </c>
      <c r="D46" s="35">
        <f>IFERROR(__xludf.DUMMYFUNCTION(" QUERY(Home!B9) * C46"),0.0)</f>
        <v>0</v>
      </c>
      <c r="E46" s="2"/>
      <c r="F46" s="2"/>
      <c r="G46" s="2"/>
      <c r="H46" s="2"/>
      <c r="I46" s="2"/>
      <c r="J46" s="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0" t="str">
        <f>IFERROR(__xludf.DUMMYFUNCTION("Query('Source Data'!C15)"),"AIMOX")</f>
        <v>AIMOX</v>
      </c>
      <c r="B47" s="37" t="s">
        <v>3</v>
      </c>
      <c r="C47" s="38">
        <f>IFERROR(__xludf.DUMMYFUNCTION(" Query('Source Data'!H15)"),0.0)</f>
        <v>0</v>
      </c>
      <c r="D47" s="35">
        <f>IFERROR(__xludf.DUMMYFUNCTION(" QUERY(Home!B9) * C47"),0.0)</f>
        <v>0</v>
      </c>
      <c r="E47" s="2"/>
      <c r="F47" s="2"/>
      <c r="G47" s="2"/>
      <c r="H47" s="2"/>
      <c r="I47" s="2"/>
      <c r="J47" s="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0" t="str">
        <f>IFERROR(__xludf.DUMMYFUNCTION("Query('Source Data'!C16)"),"QEMLX")</f>
        <v>QEMLX</v>
      </c>
      <c r="B48" s="37" t="s">
        <v>3</v>
      </c>
      <c r="C48" s="38">
        <f>IFERROR(__xludf.DUMMYFUNCTION(" Query('Source Data'!H16)"),0.0)</f>
        <v>0</v>
      </c>
      <c r="D48" s="35">
        <f>IFERROR(__xludf.DUMMYFUNCTION(" QUERY(Home!B9) * C48"),0.0)</f>
        <v>0</v>
      </c>
      <c r="E48" s="2"/>
      <c r="F48" s="2"/>
      <c r="G48" s="2"/>
      <c r="H48" s="2"/>
      <c r="I48" s="2"/>
      <c r="J48" s="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0" t="str">
        <f>IFERROR(__xludf.DUMMYFUNCTION("Query('Source Data'!C17)"),"PEDIX")</f>
        <v>PEDIX</v>
      </c>
      <c r="B49" s="37" t="s">
        <v>5</v>
      </c>
      <c r="C49" s="38">
        <f>IFERROR(__xludf.DUMMYFUNCTION(" Query('Source Data'!H17)"),0.0)</f>
        <v>0</v>
      </c>
      <c r="D49" s="35">
        <f>IFERROR(__xludf.DUMMYFUNCTION(" QUERY(Home!B9) * C49"),0.0)</f>
        <v>0</v>
      </c>
      <c r="E49" s="1"/>
      <c r="F49" s="2"/>
      <c r="G49" s="2"/>
      <c r="H49" s="2"/>
      <c r="I49" s="2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0" t="str">
        <f>IFERROR(__xludf.DUMMYFUNCTION("Query('Source Data'!C18)"),"PTSHX")</f>
        <v>PTSHX</v>
      </c>
      <c r="B50" s="37" t="s">
        <v>5</v>
      </c>
      <c r="C50" s="38">
        <f>IFERROR(__xludf.DUMMYFUNCTION(" Query('Source Data'!H18)"),0.023499999765)</f>
        <v>0.02349999977</v>
      </c>
      <c r="D50" s="35">
        <f>IFERROR(__xludf.DUMMYFUNCTION(" Query('Source Data'!G18)"),21545.877920741936)</f>
        <v>21545.87792</v>
      </c>
      <c r="E50" s="2"/>
      <c r="F50" s="2"/>
      <c r="G50" s="2"/>
      <c r="H50" s="2"/>
      <c r="I50" s="2"/>
      <c r="J50" s="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0" t="str">
        <f>IFERROR(__xludf.DUMMYFUNCTION("Query('Source Data'!C19)"),"PIGIX")</f>
        <v>PIGIX</v>
      </c>
      <c r="B51" s="37" t="s">
        <v>5</v>
      </c>
      <c r="C51" s="38">
        <f>IFERROR(__xludf.DUMMYFUNCTION(" Query('Source Data'!H19)"),0.0)</f>
        <v>0</v>
      </c>
      <c r="D51" s="39">
        <f>IFERROR(__xludf.DUMMYFUNCTION(" Query('Source Data'!G19)"),0.0)</f>
        <v>0</v>
      </c>
      <c r="E51" s="2"/>
      <c r="F51" s="2"/>
      <c r="G51" s="2"/>
      <c r="H51" s="2"/>
      <c r="I51" s="2"/>
      <c r="J51" s="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20" t="str">
        <f>IFERROR(__xludf.DUMMYFUNCTION("Query('Source Data'!C20)"),"PHSIX")</f>
        <v>PHSIX</v>
      </c>
      <c r="B52" s="37" t="s">
        <v>5</v>
      </c>
      <c r="C52" s="38">
        <f>IFERROR(__xludf.DUMMYFUNCTION(" Query('Source Data'!H20)"),0.03499999965)</f>
        <v>0.03499999965</v>
      </c>
      <c r="D52" s="35">
        <f>IFERROR(__xludf.DUMMYFUNCTION(" Query('Source Data'!G20)"),32089.605413870973)</f>
        <v>32089.60541</v>
      </c>
      <c r="E52" s="2"/>
      <c r="F52" s="2"/>
      <c r="G52" s="2"/>
      <c r="H52" s="2"/>
      <c r="I52" s="2"/>
      <c r="J52" s="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0" t="str">
        <f>IFERROR(__xludf.DUMMYFUNCTION("Query('Source Data'!C21)"),"PEBIX")</f>
        <v>PEBIX</v>
      </c>
      <c r="B53" s="37" t="s">
        <v>5</v>
      </c>
      <c r="C53" s="38">
        <f>IFERROR(__xludf.DUMMYFUNCTION(" Query('Source Data'!H21)"),0.011499999885)</f>
        <v>0.01149999989</v>
      </c>
      <c r="D53" s="35">
        <f>IFERROR(__xludf.DUMMYFUNCTION(" Query('Source Data'!G21)"),10543.727493129032)</f>
        <v>10543.72749</v>
      </c>
      <c r="E53" s="2"/>
      <c r="F53" s="2"/>
      <c r="G53" s="2"/>
      <c r="H53" s="2"/>
      <c r="I53" s="2"/>
      <c r="J53" s="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20" t="str">
        <f>IFERROR(__xludf.DUMMYFUNCTION("Query('Source Data'!C22)"),"PFORX")</f>
        <v>PFORX</v>
      </c>
      <c r="B54" s="37" t="s">
        <v>5</v>
      </c>
      <c r="C54" s="38">
        <f>IFERROR(__xludf.DUMMYFUNCTION(" Query('Source Data'!H22)"),0.046499999535)</f>
        <v>0.04649999954</v>
      </c>
      <c r="D54" s="35">
        <f>IFERROR(__xludf.DUMMYFUNCTION(" Query('Source Data'!G22)"),42633.332907)</f>
        <v>42633.33291</v>
      </c>
      <c r="E54" s="2"/>
      <c r="F54" s="2"/>
      <c r="G54" s="2"/>
      <c r="H54" s="2"/>
      <c r="I54" s="2"/>
      <c r="J54" s="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0" t="str">
        <f>IFERROR(__xludf.DUMMYFUNCTION("Query('Source Data'!C23)"),"PAIDX")</f>
        <v>PAIDX</v>
      </c>
      <c r="B55" s="52" t="s">
        <v>4</v>
      </c>
      <c r="C55" s="38">
        <f>IFERROR(__xludf.DUMMYFUNCTION(" Query('Source Data'!H23)"),0.02299999977)</f>
        <v>0.02299999977</v>
      </c>
      <c r="D55" s="35">
        <f>IFERROR(__xludf.DUMMYFUNCTION(" Query('Source Data'!G23)"),21087.454986258064)</f>
        <v>21087.45499</v>
      </c>
      <c r="E55" s="2"/>
      <c r="F55" s="2"/>
      <c r="G55" s="2"/>
      <c r="H55" s="2"/>
      <c r="I55" s="2"/>
      <c r="J55" s="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0" t="str">
        <f>IFERROR(__xludf.DUMMYFUNCTION("Query('Source Data'!C24)"),"ARCIX")</f>
        <v>ARCIX</v>
      </c>
      <c r="B56" s="53"/>
      <c r="C56" s="38">
        <f>IFERROR(__xludf.DUMMYFUNCTION(" Query('Source Data'!H24)"),0.25)</f>
        <v>0.25</v>
      </c>
      <c r="D56" s="35">
        <f>IFERROR(__xludf.DUMMYFUNCTION(" QUERY(Home!B9) * C56"),100000.0)</f>
        <v>100000</v>
      </c>
      <c r="E56" s="25"/>
      <c r="F56" s="26"/>
      <c r="G56" s="26"/>
      <c r="H56" s="2"/>
      <c r="I56" s="2"/>
      <c r="J56" s="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0" t="str">
        <f>IFERROR(__xludf.DUMMYFUNCTION("Query('Source Data'!C25)"),"VGPMX")</f>
        <v>VGPMX</v>
      </c>
      <c r="B57" s="53"/>
      <c r="C57" s="38">
        <f>IFERROR(__xludf.DUMMYFUNCTION(" Query('Source Data'!H25)"),0.0)</f>
        <v>0</v>
      </c>
      <c r="D57" s="35">
        <f>IFERROR(__xludf.DUMMYFUNCTION(" QUERY(Home!B9) * C57"),0.0)</f>
        <v>0</v>
      </c>
      <c r="E57" s="25"/>
      <c r="F57" s="26"/>
      <c r="G57" s="26"/>
      <c r="H57" s="2"/>
      <c r="I57" s="2"/>
      <c r="J57" s="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0" t="str">
        <f>IFERROR(__xludf.DUMMYFUNCTION("Query('Source Data'!C26)"),"PBRIX")</f>
        <v>PBRIX</v>
      </c>
      <c r="B58" s="53"/>
      <c r="C58" s="38">
        <f>IFERROR(__xludf.DUMMYFUNCTION(" Query('Source Data'!H26)"),0.25)</f>
        <v>0.25</v>
      </c>
      <c r="D58" s="35">
        <f>IFERROR(__xludf.DUMMYFUNCTION(" QUERY(Home!B9) * C58"),100000.0)</f>
        <v>100000</v>
      </c>
      <c r="E58" s="25"/>
      <c r="F58" s="26"/>
      <c r="G58" s="26"/>
      <c r="H58" s="2"/>
      <c r="I58" s="2"/>
      <c r="J58" s="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0" t="str">
        <f>IFERROR(__xludf.DUMMYFUNCTION("Query('Source Data'!C27)"),"")</f>
        <v/>
      </c>
      <c r="B59" s="53"/>
      <c r="C59" s="38">
        <f>IFERROR(__xludf.DUMMYFUNCTION(" Query('Source Data'!H27)"),0.18024999909874997)</f>
        <v>0.1802499991</v>
      </c>
      <c r="D59" s="35">
        <f>IFERROR(__xludf.DUMMYFUNCTION(" QUERY(Home!B10) * C59"),72099.99963949999)</f>
        <v>72099.99964</v>
      </c>
      <c r="E59" s="25"/>
      <c r="F59" s="26"/>
      <c r="G59" s="26"/>
      <c r="H59" s="2"/>
      <c r="I59" s="2"/>
      <c r="J59" s="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4"/>
      <c r="B60" s="2"/>
      <c r="C60" s="54">
        <f>sum(C34:C59)</f>
        <v>0.9999999959</v>
      </c>
      <c r="D60" s="29">
        <f> sum(D34:D58)</f>
        <v>399999.998</v>
      </c>
      <c r="E60" s="2"/>
      <c r="F60" s="2"/>
      <c r="G60" s="2"/>
      <c r="H60" s="2"/>
      <c r="I60" s="2"/>
      <c r="J60" s="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5" t="str">
        <f>IFERROR(__xludf.DUMMYFUNCTION(" IF(QUERY(Home!C3)=""Overweight"", ""Overweight (Active)"", ""Overweight"")"),"Overweight")</f>
        <v>Overweight</v>
      </c>
      <c r="B62" s="6"/>
      <c r="C62" s="6"/>
      <c r="D62" s="6"/>
      <c r="E62" s="6"/>
      <c r="F62" s="6"/>
      <c r="G62" s="6"/>
      <c r="H62" s="6"/>
      <c r="I62" s="6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55" t="s">
        <v>9</v>
      </c>
      <c r="B63" s="1"/>
      <c r="C63" s="2"/>
      <c r="D63" s="2"/>
      <c r="E63" s="2"/>
      <c r="F63" s="2"/>
      <c r="G63" s="2"/>
      <c r="H63" s="2"/>
      <c r="I63" s="2"/>
      <c r="J63" s="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55" t="s">
        <v>10</v>
      </c>
      <c r="B64" s="1"/>
      <c r="C64" s="36"/>
      <c r="D64" s="36"/>
      <c r="E64" s="2"/>
      <c r="F64" s="2"/>
      <c r="G64" s="2"/>
      <c r="H64" s="2"/>
      <c r="I64" s="2"/>
      <c r="J64" s="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0" t="str">
        <f>IFERROR(__xludf.DUMMYFUNCTION("Query('Source Data'!C2)"),"QLRIX")</f>
        <v>QLRIX</v>
      </c>
      <c r="B65" s="37" t="s">
        <v>3</v>
      </c>
      <c r="C65" s="38">
        <f>IFERROR(__xludf.DUMMYFUNCTION(" Query('Source Data'!J2)"),0.0)</f>
        <v>0</v>
      </c>
      <c r="D65" s="56">
        <f>IFERROR(__xludf.DUMMYFUNCTION(" Query('Source Data'!I2)"),0.0)</f>
        <v>0</v>
      </c>
      <c r="E65" s="24"/>
      <c r="F65" s="2"/>
      <c r="G65" s="2"/>
      <c r="H65" s="2"/>
      <c r="I65" s="2"/>
      <c r="J65" s="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0" t="str">
        <f>IFERROR(__xludf.DUMMYFUNCTION("Query('Source Data'!C3)"),"QSRIX")</f>
        <v>QSRIX</v>
      </c>
      <c r="B66" s="37" t="s">
        <v>3</v>
      </c>
      <c r="C66" s="38">
        <f>IFERROR(__xludf.DUMMYFUNCTION(" Query('Source Data'!J3)"),0.0)</f>
        <v>0</v>
      </c>
      <c r="D66" s="56">
        <f>IFERROR(__xludf.DUMMYFUNCTION(" Query('Source Data'!I3)"),0.0)</f>
        <v>0</v>
      </c>
      <c r="E66" s="24"/>
      <c r="F66" s="2"/>
      <c r="G66" s="2"/>
      <c r="H66" s="2"/>
      <c r="I66" s="2"/>
      <c r="J66" s="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0" t="str">
        <f>IFERROR(__xludf.DUMMYFUNCTION("Query('Source Data'!C4)"),"PRUFX")</f>
        <v>PRUFX</v>
      </c>
      <c r="B67" s="37" t="s">
        <v>3</v>
      </c>
      <c r="C67" s="38">
        <f>IFERROR(__xludf.DUMMYFUNCTION(" Query('Source Data'!J4)"),0.0)</f>
        <v>0</v>
      </c>
      <c r="D67" s="56">
        <f>IFERROR(__xludf.DUMMYFUNCTION(" Query('Source Data'!I4)"),0.0)</f>
        <v>0</v>
      </c>
      <c r="E67" s="24"/>
      <c r="F67" s="2"/>
      <c r="G67" s="2"/>
      <c r="H67" s="2"/>
      <c r="I67" s="2"/>
      <c r="J67" s="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20" t="str">
        <f>IFERROR(__xludf.DUMMYFUNCTION("Query('Source Data'!C5)"),"DFLVX")</f>
        <v>DFLVX</v>
      </c>
      <c r="B68" s="37" t="s">
        <v>3</v>
      </c>
      <c r="C68" s="38">
        <f>IFERROR(__xludf.DUMMYFUNCTION(" Query('Source Data'!J5)"),0.0)</f>
        <v>0</v>
      </c>
      <c r="D68" s="56">
        <f>IFERROR(__xludf.DUMMYFUNCTION(" Query('Source Data'!I5)"),0.0)</f>
        <v>0</v>
      </c>
      <c r="E68" s="24"/>
      <c r="F68" s="2"/>
      <c r="G68" s="2"/>
      <c r="H68" s="2"/>
      <c r="I68" s="2"/>
      <c r="J68" s="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0" t="str">
        <f>IFERROR(__xludf.DUMMYFUNCTION("Query('Source Data'!C6)"),"QIRIX")</f>
        <v>QIRIX</v>
      </c>
      <c r="B69" s="37" t="s">
        <v>3</v>
      </c>
      <c r="C69" s="38">
        <f>IFERROR(__xludf.DUMMYFUNCTION(" Query('Source Data'!J6)"),0.0)</f>
        <v>0</v>
      </c>
      <c r="D69" s="56">
        <f>IFERROR(__xludf.DUMMYFUNCTION(" Query('Source Data'!I6)"),0.0)</f>
        <v>0</v>
      </c>
      <c r="E69" s="24"/>
      <c r="F69" s="2"/>
      <c r="G69" s="2"/>
      <c r="H69" s="2"/>
      <c r="I69" s="2"/>
      <c r="J69" s="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0" t="str">
        <f>IFERROR(__xludf.DUMMYFUNCTION("Query('Source Data'!C7)"),"QERIX")</f>
        <v>QERIX</v>
      </c>
      <c r="B70" s="37" t="s">
        <v>3</v>
      </c>
      <c r="C70" s="38">
        <f>IFERROR(__xludf.DUMMYFUNCTION(" Query('Source Data'!J7)"),0.0)</f>
        <v>0</v>
      </c>
      <c r="D70" s="56">
        <f>IFERROR(__xludf.DUMMYFUNCTION(" Query('Source Data'!I7)"),0.0)</f>
        <v>0</v>
      </c>
      <c r="E70" s="24"/>
      <c r="F70" s="2"/>
      <c r="G70" s="2"/>
      <c r="H70" s="2"/>
      <c r="I70" s="2"/>
      <c r="J70" s="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20" t="str">
        <f>IFERROR(__xludf.DUMMYFUNCTION("Query('Source Data'!C8)"),"AUEIX")</f>
        <v>AUEIX</v>
      </c>
      <c r="B71" s="37" t="s">
        <v>3</v>
      </c>
      <c r="C71" s="38">
        <f>IFERROR(__xludf.DUMMYFUNCTION(" Query('Source Data'!J8)"),0.0)</f>
        <v>0</v>
      </c>
      <c r="D71" s="56">
        <f>IFERROR(__xludf.DUMMYFUNCTION(" Query('Source Data'!I8)"),0.0)</f>
        <v>0</v>
      </c>
      <c r="E71" s="24"/>
      <c r="F71" s="2"/>
      <c r="G71" s="2"/>
      <c r="H71" s="2"/>
      <c r="I71" s="2"/>
      <c r="J71" s="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0" t="str">
        <f>IFERROR(__xludf.DUMMYFUNCTION("Query('Source Data'!C9)"),"ANDIX")</f>
        <v>ANDIX</v>
      </c>
      <c r="B72" s="37" t="s">
        <v>3</v>
      </c>
      <c r="C72" s="38">
        <f>IFERROR(__xludf.DUMMYFUNCTION(" Query('Source Data'!J9)"),0.0)</f>
        <v>0</v>
      </c>
      <c r="D72" s="56">
        <f>IFERROR(__xludf.DUMMYFUNCTION(" Query('Source Data'!I9)"),0.0)</f>
        <v>0</v>
      </c>
      <c r="E72" s="24"/>
      <c r="F72" s="2"/>
      <c r="G72" s="2"/>
      <c r="H72" s="2"/>
      <c r="I72" s="2"/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20" t="str">
        <f>IFERROR(__xludf.DUMMYFUNCTION("Query('Source Data'!C10)"),"DFCEX")</f>
        <v>DFCEX</v>
      </c>
      <c r="B73" s="37" t="s">
        <v>3</v>
      </c>
      <c r="C73" s="38">
        <f>IFERROR(__xludf.DUMMYFUNCTION(" Query('Source Data'!J10)"),0.0)</f>
        <v>0</v>
      </c>
      <c r="D73" s="56">
        <f>IFERROR(__xludf.DUMMYFUNCTION(" Query('Source Data'!I10)"),0.0)</f>
        <v>0</v>
      </c>
      <c r="E73" s="24"/>
      <c r="F73" s="2"/>
      <c r="G73" s="2"/>
      <c r="H73" s="2"/>
      <c r="I73" s="2"/>
      <c r="J73" s="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0" t="str">
        <f>IFERROR(__xludf.DUMMYFUNCTION("Query('Source Data'!C11)"),"DFSTX")</f>
        <v>DFSTX</v>
      </c>
      <c r="B74" s="37" t="s">
        <v>3</v>
      </c>
      <c r="C74" s="38">
        <f>IFERROR(__xludf.DUMMYFUNCTION(" Query('Source Data'!J11)"),0.0)</f>
        <v>0</v>
      </c>
      <c r="D74" s="56">
        <f>IFERROR(__xludf.DUMMYFUNCTION(" Query('Source Data'!I11)"),0.0)</f>
        <v>0</v>
      </c>
      <c r="E74" s="24"/>
      <c r="F74" s="2"/>
      <c r="G74" s="2"/>
      <c r="H74" s="2"/>
      <c r="I74" s="2"/>
      <c r="J74" s="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20" t="str">
        <f>IFERROR(__xludf.DUMMYFUNCTION("Query('Source Data'!C12)"),"AMOMX")</f>
        <v>AMOMX</v>
      </c>
      <c r="B75" s="37" t="s">
        <v>3</v>
      </c>
      <c r="C75" s="38">
        <f>IFERROR(__xludf.DUMMYFUNCTION(" Query('Source Data'!J12)"),0.19811789181692094)</f>
        <v>0.1981178918</v>
      </c>
      <c r="D75" s="56">
        <f>IFERROR(__xludf.DUMMYFUNCTION(" Query('Source Data'!I12)"),79247.15672676839)</f>
        <v>79247.15673</v>
      </c>
      <c r="E75" s="24"/>
      <c r="F75" s="2"/>
      <c r="G75" s="2"/>
      <c r="H75" s="2"/>
      <c r="I75" s="2"/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0" t="str">
        <f>IFERROR(__xludf.DUMMYFUNCTION("Query('Source Data'!C13)"),"ASMOX")</f>
        <v>ASMOX</v>
      </c>
      <c r="B76" s="37" t="s">
        <v>3</v>
      </c>
      <c r="C76" s="38">
        <f>IFERROR(__xludf.DUMMYFUNCTION(" Query('Source Data'!J13)"),0.2649528432732316)</f>
        <v>0.2649528433</v>
      </c>
      <c r="D76" s="56">
        <f>IFERROR(__xludf.DUMMYFUNCTION(" Query('Source Data'!I13)"),105981.13730929265)</f>
        <v>105981.1373</v>
      </c>
      <c r="E76" s="24"/>
      <c r="F76" s="2"/>
      <c r="G76" s="2"/>
      <c r="H76" s="2"/>
      <c r="I76" s="2"/>
      <c r="J76" s="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0" t="str">
        <f>IFERROR(__xludf.DUMMYFUNCTION("Query('Source Data'!C14)"),"FATIX")</f>
        <v>FATIX</v>
      </c>
      <c r="B77" s="37" t="s">
        <v>3</v>
      </c>
      <c r="C77" s="38">
        <f>IFERROR(__xludf.DUMMYFUNCTION(" Query('Source Data'!J14)"),0.2649528432732316)</f>
        <v>0.2649528433</v>
      </c>
      <c r="D77" s="56">
        <f>IFERROR(__xludf.DUMMYFUNCTION(" Query('Source Data'!I14)"),105981.13730929265)</f>
        <v>105981.1373</v>
      </c>
      <c r="E77" s="24"/>
      <c r="F77" s="2"/>
      <c r="G77" s="2"/>
      <c r="H77" s="2"/>
      <c r="I77" s="2"/>
      <c r="J77" s="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0" t="str">
        <f>IFERROR(__xludf.DUMMYFUNCTION("Query('Source Data'!C15)"),"AIMOX")</f>
        <v>AIMOX</v>
      </c>
      <c r="B78" s="37" t="s">
        <v>3</v>
      </c>
      <c r="C78" s="38">
        <f>IFERROR(__xludf.DUMMYFUNCTION(" Query('Source Data'!J15)"),0.0)</f>
        <v>0</v>
      </c>
      <c r="D78" s="56">
        <f>IFERROR(__xludf.DUMMYFUNCTION(" Query('Source Data'!I15)"),0.0)</f>
        <v>0</v>
      </c>
      <c r="E78" s="24"/>
      <c r="F78" s="2"/>
      <c r="G78" s="2"/>
      <c r="H78" s="2"/>
      <c r="I78" s="2"/>
      <c r="J78" s="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0" t="str">
        <f>IFERROR(__xludf.DUMMYFUNCTION("Query('Source Data'!C16)"),"QEMLX")</f>
        <v>QEMLX</v>
      </c>
      <c r="B79" s="37" t="s">
        <v>3</v>
      </c>
      <c r="C79" s="38">
        <f>IFERROR(__xludf.DUMMYFUNCTION(" Query('Source Data'!J16)"),0.1324764216366158)</f>
        <v>0.1324764216</v>
      </c>
      <c r="D79" s="56">
        <f>IFERROR(__xludf.DUMMYFUNCTION(" Query('Source Data'!I16)"),52990.568654646326)</f>
        <v>52990.56865</v>
      </c>
      <c r="E79" s="24"/>
      <c r="F79" s="2"/>
      <c r="G79" s="2"/>
      <c r="H79" s="2"/>
      <c r="I79" s="2"/>
      <c r="J79" s="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0" t="str">
        <f>IFERROR(__xludf.DUMMYFUNCTION("Query('Source Data'!C17)"),"PEDIX")</f>
        <v>PEDIX</v>
      </c>
      <c r="B80" s="37" t="s">
        <v>5</v>
      </c>
      <c r="C80" s="38">
        <f>IFERROR(__xludf.DUMMYFUNCTION(" Query('Source Data'!J17)"),0.0)</f>
        <v>0</v>
      </c>
      <c r="D80" s="56">
        <f>IFERROR(__xludf.DUMMYFUNCTION(" Query('Source Data'!I17)"),0.0)</f>
        <v>0</v>
      </c>
      <c r="E80" s="14"/>
      <c r="F80" s="2"/>
      <c r="G80" s="2"/>
      <c r="H80" s="2"/>
      <c r="I80" s="2"/>
      <c r="J80" s="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0" t="str">
        <f>IFERROR(__xludf.DUMMYFUNCTION("Query('Source Data'!C18)"),"PTSHX")</f>
        <v>PTSHX</v>
      </c>
      <c r="B81" s="37" t="s">
        <v>5</v>
      </c>
      <c r="C81" s="38">
        <f>IFERROR(__xludf.DUMMYFUNCTION(" Query('Source Data'!J18)"),0.0235)</f>
        <v>0.0235</v>
      </c>
      <c r="D81" s="56">
        <f>IFERROR(__xludf.DUMMYFUNCTION(" Query('Source Data'!I18)"),9400.0)</f>
        <v>9400</v>
      </c>
      <c r="E81" s="24"/>
      <c r="F81" s="2"/>
      <c r="G81" s="2"/>
      <c r="H81" s="2"/>
      <c r="I81" s="2"/>
      <c r="J81" s="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20" t="str">
        <f>IFERROR(__xludf.DUMMYFUNCTION("Query('Source Data'!C19)"),"PIGIX")</f>
        <v>PIGIX</v>
      </c>
      <c r="B82" s="37" t="s">
        <v>5</v>
      </c>
      <c r="C82" s="38">
        <f>IFERROR(__xludf.DUMMYFUNCTION(" Query('Source Data'!J19)"),0.0)</f>
        <v>0</v>
      </c>
      <c r="D82" s="56">
        <f>IFERROR(__xludf.DUMMYFUNCTION(" Query('Source Data'!I19)"),0.0)</f>
        <v>0</v>
      </c>
      <c r="E82" s="24"/>
      <c r="F82" s="2"/>
      <c r="G82" s="2"/>
      <c r="H82" s="2"/>
      <c r="I82" s="2"/>
      <c r="J82" s="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0" t="str">
        <f>IFERROR(__xludf.DUMMYFUNCTION("Query('Source Data'!C20)"),"PHSIX")</f>
        <v>PHSIX</v>
      </c>
      <c r="B83" s="37" t="s">
        <v>5</v>
      </c>
      <c r="C83" s="38">
        <f>IFERROR(__xludf.DUMMYFUNCTION(" Query('Source Data'!J20)"),0.035)</f>
        <v>0.035</v>
      </c>
      <c r="D83" s="56">
        <f>IFERROR(__xludf.DUMMYFUNCTION(" Query('Source Data'!I20)"),14000.000000000002)</f>
        <v>14000</v>
      </c>
      <c r="E83" s="24"/>
      <c r="F83" s="2"/>
      <c r="G83" s="2"/>
      <c r="H83" s="2"/>
      <c r="I83" s="2"/>
      <c r="J83" s="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20" t="str">
        <f>IFERROR(__xludf.DUMMYFUNCTION("Query('Source Data'!C21)"),"PEBIX")</f>
        <v>PEBIX</v>
      </c>
      <c r="B84" s="37" t="s">
        <v>5</v>
      </c>
      <c r="C84" s="38">
        <f>IFERROR(__xludf.DUMMYFUNCTION(" Query('Source Data'!J21)"),0.0115)</f>
        <v>0.0115</v>
      </c>
      <c r="D84" s="56">
        <f>IFERROR(__xludf.DUMMYFUNCTION(" Query('Source Data'!I21)"),4600.0)</f>
        <v>4600</v>
      </c>
      <c r="E84" s="24"/>
      <c r="F84" s="2"/>
      <c r="G84" s="2"/>
      <c r="H84" s="2"/>
      <c r="I84" s="2"/>
      <c r="J84" s="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0" t="str">
        <f>IFERROR(__xludf.DUMMYFUNCTION("Query('Source Data'!C22)"),"PFORX")</f>
        <v>PFORX</v>
      </c>
      <c r="B85" s="37" t="s">
        <v>5</v>
      </c>
      <c r="C85" s="38">
        <f>IFERROR(__xludf.DUMMYFUNCTION(" Query('Source Data'!J22)"),0.0465)</f>
        <v>0.0465</v>
      </c>
      <c r="D85" s="56">
        <f>IFERROR(__xludf.DUMMYFUNCTION(" Query('Source Data'!I22)"),18600.0)</f>
        <v>18600</v>
      </c>
      <c r="E85" s="24"/>
      <c r="F85" s="2"/>
      <c r="G85" s="2"/>
      <c r="H85" s="2"/>
      <c r="I85" s="2"/>
      <c r="J85" s="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20" t="str">
        <f>IFERROR(__xludf.DUMMYFUNCTION("Query('Source Data'!C23)"),"PAIDX")</f>
        <v>PAIDX</v>
      </c>
      <c r="B86" s="52" t="s">
        <v>4</v>
      </c>
      <c r="C86" s="38">
        <f>IFERROR(__xludf.DUMMYFUNCTION(" Query('Source Data'!J23)"),0.023)</f>
        <v>0.023</v>
      </c>
      <c r="D86" s="56">
        <f>IFERROR(__xludf.DUMMYFUNCTION(" Query('Source Data'!I23)"),9200.0)</f>
        <v>9200</v>
      </c>
      <c r="E86" s="24"/>
      <c r="F86" s="2"/>
      <c r="G86" s="2"/>
      <c r="H86" s="2"/>
      <c r="I86" s="2"/>
      <c r="J86" s="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20" t="str">
        <f>IFERROR(__xludf.DUMMYFUNCTION("Query('Source Data'!C24)"),"ARCIX")</f>
        <v>ARCIX</v>
      </c>
      <c r="B87" s="53"/>
      <c r="C87" s="38">
        <f>IFERROR(__xludf.DUMMYFUNCTION(" Query('Source Data'!J24)"),0.0)</f>
        <v>0</v>
      </c>
      <c r="D87" s="56">
        <f>IFERROR(__xludf.DUMMYFUNCTION(" Query('Source Data'!I24)"),0.0)</f>
        <v>0</v>
      </c>
      <c r="E87" s="57"/>
      <c r="F87" s="26"/>
      <c r="G87" s="26"/>
      <c r="H87" s="2"/>
      <c r="I87" s="2"/>
      <c r="J87" s="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20" t="str">
        <f>IFERROR(__xludf.DUMMYFUNCTION("Query('Source Data'!C25)"),"VGPMX")</f>
        <v>VGPMX</v>
      </c>
      <c r="B88" s="53"/>
      <c r="C88" s="38">
        <f>IFERROR(__xludf.DUMMYFUNCTION(" Query('Source Data'!J25)"),0.0)</f>
        <v>0</v>
      </c>
      <c r="D88" s="56">
        <f>IFERROR(__xludf.DUMMYFUNCTION(" Query('Source Data'!I25)"),0.0)</f>
        <v>0</v>
      </c>
      <c r="E88" s="57"/>
      <c r="F88" s="26"/>
      <c r="G88" s="26"/>
      <c r="H88" s="2"/>
      <c r="I88" s="2"/>
      <c r="J88" s="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20" t="str">
        <f>IFERROR(__xludf.DUMMYFUNCTION("Query('Source Data'!C26)"),"PBRIX")</f>
        <v>PBRIX</v>
      </c>
      <c r="B89" s="53"/>
      <c r="C89" s="38">
        <f>IFERROR(__xludf.DUMMYFUNCTION(" Query('Source Data'!J26)"),0.0)</f>
        <v>0</v>
      </c>
      <c r="D89" s="56">
        <f>IFERROR(__xludf.DUMMYFUNCTION(" Query('Source Data'!I26)"),0.0)</f>
        <v>0</v>
      </c>
      <c r="E89" s="57"/>
      <c r="F89" s="26"/>
      <c r="G89" s="26"/>
      <c r="H89" s="2"/>
      <c r="I89" s="2"/>
      <c r="J89" s="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5"/>
      <c r="B90" s="8"/>
      <c r="C90" s="58"/>
      <c r="D90" s="59"/>
      <c r="E90" s="2"/>
      <c r="F90" s="2"/>
      <c r="G90" s="2"/>
      <c r="H90" s="2"/>
      <c r="I90" s="2"/>
      <c r="J90" s="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2"/>
      <c r="B91" s="2"/>
      <c r="C91" s="28">
        <f>sum(C65:C86)</f>
        <v>1</v>
      </c>
      <c r="D91" s="29">
        <f> sum(D65:D86)</f>
        <v>400000</v>
      </c>
      <c r="E91" s="2"/>
      <c r="F91" s="2"/>
      <c r="G91" s="2"/>
      <c r="H91" s="2"/>
      <c r="I91" s="2"/>
      <c r="J91" s="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</sheetData>
  <mergeCells count="3">
    <mergeCell ref="A62:J62"/>
    <mergeCell ref="A31:J31"/>
    <mergeCell ref="A2:J2"/>
  </mergeCells>
  <conditionalFormatting sqref="A2">
    <cfRule type="containsText" dxfId="4" priority="1" operator="containsText" text="Neutral (Active)">
      <formula>NOT(ISERROR(SEARCH(("Neutral (Active)"),(A2))))</formula>
    </cfRule>
  </conditionalFormatting>
  <conditionalFormatting sqref="A31">
    <cfRule type="containsText" dxfId="2" priority="2" operator="containsText" text="Underweight (Active)">
      <formula>NOT(ISERROR(SEARCH(("Underweight (Active)"),(A31))))</formula>
    </cfRule>
  </conditionalFormatting>
  <conditionalFormatting sqref="A62">
    <cfRule type="containsText" dxfId="0" priority="3" operator="containsText" text="Overweight (Active)">
      <formula>NOT(ISERROR(SEARCH(("Overweight (Active)"),(A62))))</formula>
    </cfRule>
  </conditionalFormatting>
  <conditionalFormatting sqref="A2">
    <cfRule type="containsText" dxfId="5" priority="4" operator="containsText" text="Neutral">
      <formula>NOT(ISERROR(SEARCH(("Neutral"),(A2))))</formula>
    </cfRule>
  </conditionalFormatting>
  <conditionalFormatting sqref="A31">
    <cfRule type="containsText" dxfId="3" priority="5" operator="containsText" text="Underweight">
      <formula>NOT(ISERROR(SEARCH(("Underweight"),(A31))))</formula>
    </cfRule>
  </conditionalFormatting>
  <conditionalFormatting sqref="A62">
    <cfRule type="containsText" dxfId="1" priority="6" operator="containsText" text="Overweight">
      <formula>NOT(ISERROR(SEARCH(("Overweight"),(A62))))</formula>
    </cfRule>
  </conditionalFormatting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3" width="8.86"/>
    <col customWidth="1" min="4" max="4" width="13.57"/>
    <col customWidth="1" min="5" max="5" width="8.86"/>
    <col customWidth="1" min="6" max="6" width="10.43"/>
    <col customWidth="1" min="7" max="9" width="8.86"/>
    <col customWidth="1" min="10" max="10" width="10.0"/>
    <col customWidth="1" min="11" max="24" width="8.86"/>
  </cols>
  <sheetData>
    <row r="1">
      <c r="A1" s="8" t="s">
        <v>1</v>
      </c>
      <c r="B1" s="2"/>
      <c r="C1" s="2"/>
      <c r="D1" s="2"/>
      <c r="E1" s="2"/>
      <c r="F1" s="2"/>
      <c r="G1" s="2"/>
      <c r="H1" s="10"/>
      <c r="I1" s="11"/>
      <c r="J1" s="1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5" t="str">
        <f>IFERROR(__xludf.DUMMYFUNCTION(" IF(QUERY(Home!C5)=""Neutral"", ""Neutral (Active)"", ""Neutral"")"),"Neutral")</f>
        <v>Neutral</v>
      </c>
      <c r="B2" s="16"/>
      <c r="C2" s="16"/>
      <c r="D2" s="16"/>
      <c r="E2" s="16"/>
      <c r="F2" s="16"/>
      <c r="G2" s="16"/>
      <c r="H2" s="16"/>
      <c r="I2" s="16"/>
      <c r="J2" s="1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20" t="str">
        <f>IFERROR(__xludf.DUMMYFUNCTION("Query('Source Data'!M2)"),"PEDIX")</f>
        <v>PEDIX</v>
      </c>
      <c r="B3" s="14" t="s">
        <v>4</v>
      </c>
      <c r="C3" s="21">
        <f>IFERROR(__xludf.DUMMYFUNCTION(" Query('Source Data'!P2)"),0.05)</f>
        <v>0.05</v>
      </c>
      <c r="D3" s="19">
        <f>IFERROR(__xludf.DUMMYFUNCTION(" QUERY(Home!B10) * C3"),20000.0)</f>
        <v>20000</v>
      </c>
      <c r="E3" s="2"/>
      <c r="F3" s="2"/>
      <c r="G3" s="2"/>
      <c r="H3" s="2"/>
      <c r="I3" s="2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20" t="str">
        <f>IFERROR(__xludf.DUMMYFUNCTION("Query('Source Data'!M3)"),"PTCIX")</f>
        <v>PTCIX</v>
      </c>
      <c r="B4" s="14" t="s">
        <v>4</v>
      </c>
      <c r="C4" s="21">
        <f>IFERROR(__xludf.DUMMYFUNCTION(" Query('Source Data'!P3)"),0.05)</f>
        <v>0.05</v>
      </c>
      <c r="D4" s="19">
        <f>IFERROR(__xludf.DUMMYFUNCTION(" QUERY(Home!B10) * C4"),20000.0)</f>
        <v>20000</v>
      </c>
      <c r="E4" s="2"/>
      <c r="F4" s="5"/>
      <c r="G4" s="2"/>
      <c r="H4" s="2"/>
      <c r="I4" s="2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20" t="str">
        <f>IFERROR(__xludf.DUMMYFUNCTION("Query('Source Data'!M4)"),"PIGIX")</f>
        <v>PIGIX</v>
      </c>
      <c r="B5" s="14" t="s">
        <v>5</v>
      </c>
      <c r="C5" s="21">
        <f>IFERROR(__xludf.DUMMYFUNCTION(" Query('Source Data'!P4)"),0.05)</f>
        <v>0.05</v>
      </c>
      <c r="D5" s="19">
        <f>IFERROR(__xludf.DUMMYFUNCTION(" QUERY(Home!B10) * C5"),20000.0)</f>
        <v>20000</v>
      </c>
      <c r="E5" s="2"/>
      <c r="F5" s="2"/>
      <c r="G5" s="2"/>
      <c r="H5" s="2"/>
      <c r="I5" s="1"/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20" t="str">
        <f>IFERROR(__xludf.DUMMYFUNCTION("Query('Source Data'!M5)"),"PGOVX")</f>
        <v>PGOVX</v>
      </c>
      <c r="B6" s="14" t="s">
        <v>5</v>
      </c>
      <c r="C6" s="21">
        <f>IFERROR(__xludf.DUMMYFUNCTION(" Query('Source Data'!P5)"),0.05)</f>
        <v>0.05</v>
      </c>
      <c r="D6" s="19">
        <f>IFERROR(__xludf.DUMMYFUNCTION(" QUERY(Home!B10) * C6"),20000.0)</f>
        <v>20000</v>
      </c>
      <c r="E6" s="2"/>
      <c r="F6" s="2"/>
      <c r="G6" s="2"/>
      <c r="H6" s="2"/>
      <c r="I6" s="2"/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20" t="str">
        <f>IFERROR(__xludf.DUMMYFUNCTION("Query('Source Data'!M6)"),"DFGBX")</f>
        <v>DFGBX</v>
      </c>
      <c r="B7" s="14" t="s">
        <v>5</v>
      </c>
      <c r="C7" s="21">
        <f>IFERROR(__xludf.DUMMYFUNCTION(" Query('Source Data'!P6)"),0.1)</f>
        <v>0.1</v>
      </c>
      <c r="D7" s="19">
        <f>IFERROR(__xludf.DUMMYFUNCTION(" QUERY(Home!B10) * C7"),40000.0)</f>
        <v>40000</v>
      </c>
      <c r="E7" s="2"/>
      <c r="F7" s="2"/>
      <c r="G7" s="2"/>
      <c r="H7" s="2"/>
      <c r="I7" s="2"/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20" t="str">
        <f>IFERROR(__xludf.DUMMYFUNCTION("Query('Source Data'!M7)"),"VSGDX")</f>
        <v>VSGDX</v>
      </c>
      <c r="B8" s="14" t="s">
        <v>5</v>
      </c>
      <c r="C8" s="21">
        <f>IFERROR(__xludf.DUMMYFUNCTION(" Query('Source Data'!P7)"),0.1)</f>
        <v>0.1</v>
      </c>
      <c r="D8" s="19">
        <f>IFERROR(__xludf.DUMMYFUNCTION(" QUERY(Home!B10) * C8"),40000.0)</f>
        <v>40000</v>
      </c>
      <c r="E8" s="2"/>
      <c r="F8" s="2"/>
      <c r="G8" s="2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20" t="str">
        <f>IFERROR(__xludf.DUMMYFUNCTION("Query('Source Data'!M8)"),"DFIGX")</f>
        <v>DFIGX</v>
      </c>
      <c r="B9" s="14" t="s">
        <v>5</v>
      </c>
      <c r="C9" s="21">
        <f>IFERROR(__xludf.DUMMYFUNCTION(" Query('Source Data'!P8)"),0.15)</f>
        <v>0.15</v>
      </c>
      <c r="D9" s="19">
        <f>IFERROR(__xludf.DUMMYFUNCTION(" QUERY(Home!B10) * C9"),60000.0)</f>
        <v>60000</v>
      </c>
      <c r="E9" s="2"/>
      <c r="F9" s="2"/>
      <c r="G9" s="2"/>
      <c r="H9" s="2"/>
      <c r="I9" s="2"/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20" t="str">
        <f>IFERROR(__xludf.DUMMYFUNCTION("Query('Source Data'!M9)"),"PTSHX")</f>
        <v>PTSHX</v>
      </c>
      <c r="B10" s="14" t="s">
        <v>5</v>
      </c>
      <c r="C10" s="21">
        <f>IFERROR(__xludf.DUMMYFUNCTION(" Query('Source Data'!P9)"),0.1)</f>
        <v>0.1</v>
      </c>
      <c r="D10" s="19">
        <f>IFERROR(__xludf.DUMMYFUNCTION(" QUERY(Home!B10) * C10"),40000.0)</f>
        <v>40000</v>
      </c>
      <c r="E10" s="30"/>
      <c r="F10" s="2"/>
      <c r="G10" s="2"/>
      <c r="H10" s="2"/>
      <c r="I10" s="2"/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20" t="str">
        <f>IFERROR(__xludf.DUMMYFUNCTION("Query('Source Data'!M10)"),"VFIRX")</f>
        <v>VFIRX</v>
      </c>
      <c r="B11" s="14" t="s">
        <v>5</v>
      </c>
      <c r="C11" s="21">
        <f>IFERROR(__xludf.DUMMYFUNCTION(" Query('Source Data'!P10)"),0.1)</f>
        <v>0.1</v>
      </c>
      <c r="D11" s="19">
        <f>IFERROR(__xludf.DUMMYFUNCTION(" QUERY(Home!B10) * C11"),40000.0)</f>
        <v>40000</v>
      </c>
      <c r="E11" s="30"/>
      <c r="F11" s="2"/>
      <c r="G11" s="2"/>
      <c r="H11" s="2"/>
      <c r="I11" s="2"/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20" t="str">
        <f>IFERROR(__xludf.DUMMYFUNCTION("Query('Source Data'!M11)"),"PAIDX")</f>
        <v>PAIDX</v>
      </c>
      <c r="B12" s="14" t="s">
        <v>5</v>
      </c>
      <c r="C12" s="21">
        <f>IFERROR(__xludf.DUMMYFUNCTION(" Query('Source Data'!P11)"),0.1)</f>
        <v>0.1</v>
      </c>
      <c r="D12" s="19">
        <f>IFERROR(__xludf.DUMMYFUNCTION(" QUERY(Home!B10) * C12"),40000.0)</f>
        <v>40000</v>
      </c>
      <c r="E12" s="2"/>
      <c r="F12" s="2"/>
      <c r="G12" s="2"/>
      <c r="H12" s="2"/>
      <c r="I12" s="31"/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20" t="str">
        <f>IFERROR(__xludf.DUMMYFUNCTION("Query('Source Data'!M12)"),"PTTRX")</f>
        <v>PTTRX</v>
      </c>
      <c r="B13" s="14" t="s">
        <v>5</v>
      </c>
      <c r="C13" s="21">
        <f>IFERROR(__xludf.DUMMYFUNCTION(" Query('Source Data'!P12)"),0.1)</f>
        <v>0.1</v>
      </c>
      <c r="D13" s="19">
        <f>IFERROR(__xludf.DUMMYFUNCTION(" QUERY(Home!B10) * C13"),40000.0)</f>
        <v>40000</v>
      </c>
      <c r="E13" s="2"/>
      <c r="F13" s="2"/>
      <c r="G13" s="2"/>
      <c r="H13" s="2"/>
      <c r="I13" s="2"/>
      <c r="J13" s="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20" t="str">
        <f>IFERROR(__xludf.DUMMYFUNCTION("Query('Source Data'!M13)"),"PCARX")</f>
        <v>PCARX</v>
      </c>
      <c r="B14" s="1" t="s">
        <v>5</v>
      </c>
      <c r="C14" s="21">
        <f>IFERROR(__xludf.DUMMYFUNCTION(" Query('Source Data'!P13)"),0.05)</f>
        <v>0.05</v>
      </c>
      <c r="D14" s="19">
        <f>IFERROR(__xludf.DUMMYFUNCTION(" QUERY(Home!B10) * C14"),20000.0)</f>
        <v>20000</v>
      </c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"/>
      <c r="B15" s="1"/>
      <c r="C15" s="21"/>
      <c r="D15" s="19"/>
      <c r="E15" s="2"/>
      <c r="F15" s="2"/>
      <c r="G15" s="2"/>
      <c r="H15" s="2"/>
      <c r="I15" s="2"/>
      <c r="J15" s="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2"/>
      <c r="B17" s="2" t="s">
        <v>8</v>
      </c>
      <c r="C17" s="32">
        <f t="shared" ref="C17:D17" si="1">SUM(C3:C15)</f>
        <v>1</v>
      </c>
      <c r="D17" s="19">
        <f t="shared" si="1"/>
        <v>400000</v>
      </c>
      <c r="E17" s="2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" t="str">
        <f>IFERROR(__xludf.DUMMYFUNCTION(" IF(QUERY(Home!C5)=""Underweight"", ""Underweight (Active)"", ""Underweight"")"),"Underweight (Active)")</f>
        <v>Underweight (Active)</v>
      </c>
      <c r="B20" s="6"/>
      <c r="C20" s="6"/>
      <c r="D20" s="6"/>
      <c r="E20" s="6"/>
      <c r="F20" s="6"/>
      <c r="G20" s="6"/>
      <c r="H20" s="6"/>
      <c r="I20" s="6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1" t="str">
        <f>IFERROR(__xludf.DUMMYFUNCTION("Query('Source Data'!M2)"),"PEDIX")</f>
        <v>PEDIX</v>
      </c>
      <c r="B21" s="33" t="s">
        <v>4</v>
      </c>
      <c r="C21" s="34">
        <f>IFERROR(__xludf.DUMMYFUNCTION(" Query('Source Data'!R2)"),0.025)</f>
        <v>0.025</v>
      </c>
      <c r="D21" s="35">
        <f>IFERROR(__xludf.DUMMYFUNCTION(" QUERY(Home!B10) * C21"),10000.0)</f>
        <v>10000</v>
      </c>
      <c r="E21" s="2"/>
      <c r="F21" s="2"/>
      <c r="G21" s="2"/>
      <c r="H21" s="2"/>
      <c r="I21" s="2"/>
      <c r="J21" s="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" t="str">
        <f>IFERROR(__xludf.DUMMYFUNCTION("Query('Source Data'!M3)"),"PTCIX")</f>
        <v>PTCIX</v>
      </c>
      <c r="B22" s="33" t="s">
        <v>4</v>
      </c>
      <c r="C22" s="34">
        <f>IFERROR(__xludf.DUMMYFUNCTION(" Query('Source Data'!R3)"),0.025)</f>
        <v>0.025</v>
      </c>
      <c r="D22" s="35">
        <f>IFERROR(__xludf.DUMMYFUNCTION(" QUERY(Home!B10) * C22"),10000.0)</f>
        <v>10000</v>
      </c>
      <c r="E22" s="2"/>
      <c r="F22" s="2"/>
      <c r="G22" s="2"/>
      <c r="H22" s="2"/>
      <c r="I22" s="2"/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" t="str">
        <f>IFERROR(__xludf.DUMMYFUNCTION("Query('Source Data'!M4)"),"PIGIX")</f>
        <v>PIGIX</v>
      </c>
      <c r="B23" s="33" t="s">
        <v>5</v>
      </c>
      <c r="C23" s="34">
        <f>IFERROR(__xludf.DUMMYFUNCTION(" Query('Source Data'!R4)"),0.025)</f>
        <v>0.025</v>
      </c>
      <c r="D23" s="35">
        <f>IFERROR(__xludf.DUMMYFUNCTION(" QUERY(Home!B10) * C23"),10000.0)</f>
        <v>10000</v>
      </c>
      <c r="E23" s="2"/>
      <c r="F23" s="2"/>
      <c r="G23" s="2"/>
      <c r="H23" s="2"/>
      <c r="I23" s="2"/>
      <c r="J23" s="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" t="str">
        <f>IFERROR(__xludf.DUMMYFUNCTION("Query('Source Data'!M5)"),"PGOVX")</f>
        <v>PGOVX</v>
      </c>
      <c r="B24" s="33" t="s">
        <v>5</v>
      </c>
      <c r="C24" s="34">
        <f>IFERROR(__xludf.DUMMYFUNCTION(" Query('Source Data'!R5)"),0.025)</f>
        <v>0.025</v>
      </c>
      <c r="D24" s="35">
        <f>IFERROR(__xludf.DUMMYFUNCTION(" QUERY(Home!B10) * C24"),10000.0)</f>
        <v>10000</v>
      </c>
      <c r="E24" s="2"/>
      <c r="F24" s="2"/>
      <c r="G24" s="2"/>
      <c r="H24" s="2"/>
      <c r="I24" s="2"/>
      <c r="J24" s="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" t="str">
        <f>IFERROR(__xludf.DUMMYFUNCTION("Query('Source Data'!M6)"),"DFGBX")</f>
        <v>DFGBX</v>
      </c>
      <c r="B25" s="33" t="s">
        <v>5</v>
      </c>
      <c r="C25" s="34">
        <f>IFERROR(__xludf.DUMMYFUNCTION(" Query('Source Data'!R6)"),0.05)</f>
        <v>0.05</v>
      </c>
      <c r="D25" s="35">
        <f>IFERROR(__xludf.DUMMYFUNCTION(" QUERY(Home!B10) * C25"),20000.0)</f>
        <v>20000</v>
      </c>
      <c r="E25" s="2"/>
      <c r="F25" s="2"/>
      <c r="G25" s="2"/>
      <c r="H25" s="2"/>
      <c r="I25" s="2"/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" t="str">
        <f>IFERROR(__xludf.DUMMYFUNCTION("Query('Source Data'!M7)"),"VSGDX")</f>
        <v>VSGDX</v>
      </c>
      <c r="B26" s="33" t="s">
        <v>5</v>
      </c>
      <c r="C26" s="34">
        <f>IFERROR(__xludf.DUMMYFUNCTION(" Query('Source Data'!R7)"),0.15)</f>
        <v>0.15</v>
      </c>
      <c r="D26" s="35">
        <f>IFERROR(__xludf.DUMMYFUNCTION(" QUERY(Home!B10) * C26"),60000.0)</f>
        <v>60000</v>
      </c>
      <c r="E26" s="2"/>
      <c r="F26" s="2"/>
      <c r="G26" s="2"/>
      <c r="H26" s="2"/>
      <c r="I26" s="2"/>
      <c r="J26" s="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1" t="str">
        <f>IFERROR(__xludf.DUMMYFUNCTION("Query('Source Data'!M8)"),"DFIGX")</f>
        <v>DFIGX</v>
      </c>
      <c r="B27" s="33" t="s">
        <v>5</v>
      </c>
      <c r="C27" s="34">
        <f>IFERROR(__xludf.DUMMYFUNCTION(" Query('Source Data'!R8)"),0.1)</f>
        <v>0.1</v>
      </c>
      <c r="D27" s="35">
        <f>IFERROR(__xludf.DUMMYFUNCTION(" QUERY(Home!B10) * C27"),40000.0)</f>
        <v>40000</v>
      </c>
      <c r="E27" s="2"/>
      <c r="F27" s="2"/>
      <c r="G27" s="2"/>
      <c r="H27" s="2"/>
      <c r="I27" s="2"/>
      <c r="J27" s="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1" t="str">
        <f>IFERROR(__xludf.DUMMYFUNCTION("Query('Source Data'!M9)"),"PTSHX")</f>
        <v>PTSHX</v>
      </c>
      <c r="B28" s="33" t="s">
        <v>5</v>
      </c>
      <c r="C28" s="34">
        <f>IFERROR(__xludf.DUMMYFUNCTION(" Query('Source Data'!R9)"),0.15)</f>
        <v>0.15</v>
      </c>
      <c r="D28" s="35">
        <f>IFERROR(__xludf.DUMMYFUNCTION(" QUERY(Home!B10) * C28"),60000.0)</f>
        <v>60000</v>
      </c>
      <c r="E28" s="2"/>
      <c r="F28" s="2"/>
      <c r="G28" s="2"/>
      <c r="H28" s="2"/>
      <c r="I28" s="2"/>
      <c r="J28" s="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1" t="str">
        <f>IFERROR(__xludf.DUMMYFUNCTION("Query('Source Data'!M10)"),"VFIRX")</f>
        <v>VFIRX</v>
      </c>
      <c r="B29" s="33" t="s">
        <v>5</v>
      </c>
      <c r="C29" s="34">
        <f>IFERROR(__xludf.DUMMYFUNCTION(" Query('Source Data'!R10)"),0.15)</f>
        <v>0.15</v>
      </c>
      <c r="D29" s="35">
        <f>IFERROR(__xludf.DUMMYFUNCTION(" QUERY(Home!B10) * C29"),60000.0)</f>
        <v>60000</v>
      </c>
      <c r="E29" s="2"/>
      <c r="F29" s="2"/>
      <c r="G29" s="2"/>
      <c r="H29" s="2"/>
      <c r="I29" s="2"/>
      <c r="J29" s="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" t="str">
        <f>IFERROR(__xludf.DUMMYFUNCTION("Query('Source Data'!M11)"),"PAIDX")</f>
        <v>PAIDX</v>
      </c>
      <c r="B30" s="33" t="s">
        <v>5</v>
      </c>
      <c r="C30" s="34">
        <f>IFERROR(__xludf.DUMMYFUNCTION(" Query('Source Data'!R11)"),0.15)</f>
        <v>0.15</v>
      </c>
      <c r="D30" s="35">
        <f>IFERROR(__xludf.DUMMYFUNCTION(" QUERY(Home!B10) * C30"),60000.0)</f>
        <v>60000</v>
      </c>
      <c r="E30" s="2"/>
      <c r="F30" s="2"/>
      <c r="G30" s="2"/>
      <c r="H30" s="2"/>
      <c r="I30" s="2"/>
      <c r="J30" s="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" t="str">
        <f>IFERROR(__xludf.DUMMYFUNCTION("Query('Source Data'!M12)"),"PTTRX")</f>
        <v>PTTRX</v>
      </c>
      <c r="B31" s="33" t="s">
        <v>5</v>
      </c>
      <c r="C31" s="34">
        <f>IFERROR(__xludf.DUMMYFUNCTION(" Query('Source Data'!R12)"),0.05)</f>
        <v>0.05</v>
      </c>
      <c r="D31" s="35">
        <f>IFERROR(__xludf.DUMMYFUNCTION(" QUERY(Home!B10) * C31"),20000.0)</f>
        <v>20000</v>
      </c>
      <c r="E31" s="2"/>
      <c r="F31" s="2"/>
      <c r="G31" s="2"/>
      <c r="H31" s="2"/>
      <c r="I31" s="2"/>
      <c r="J31" s="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" t="str">
        <f>IFERROR(__xludf.DUMMYFUNCTION("Query('Source Data'!M13)"),"PCARX")</f>
        <v>PCARX</v>
      </c>
      <c r="B32" s="33" t="s">
        <v>5</v>
      </c>
      <c r="C32" s="34">
        <f>IFERROR(__xludf.DUMMYFUNCTION(" Query('Source Data'!R13)"),0.1)</f>
        <v>0.1</v>
      </c>
      <c r="D32" s="35">
        <f>IFERROR(__xludf.DUMMYFUNCTION(" QUERY(Home!B10) * C32"),40000.0)</f>
        <v>40000</v>
      </c>
      <c r="E32" s="2"/>
      <c r="F32" s="2"/>
      <c r="G32" s="2"/>
      <c r="H32" s="2"/>
      <c r="I32" s="2"/>
      <c r="J32" s="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1"/>
      <c r="B33" s="33"/>
      <c r="C33" s="34"/>
      <c r="D33" s="35"/>
      <c r="E33" s="2"/>
      <c r="F33" s="2"/>
      <c r="G33" s="2"/>
      <c r="H33" s="2"/>
      <c r="I33" s="2"/>
      <c r="J33" s="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0"/>
      <c r="B34" s="2"/>
      <c r="C34" s="3"/>
      <c r="D34" s="2"/>
      <c r="E34" s="2"/>
      <c r="F34" s="2"/>
      <c r="G34" s="2"/>
      <c r="H34" s="2"/>
      <c r="I34" s="2"/>
      <c r="J34" s="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0"/>
      <c r="B35" s="2" t="s">
        <v>8</v>
      </c>
      <c r="C35" s="41">
        <f t="shared" ref="C35:D35" si="2">SUM(C21:C33)</f>
        <v>1</v>
      </c>
      <c r="D35" s="19">
        <f t="shared" si="2"/>
        <v>400000</v>
      </c>
      <c r="E35" s="2"/>
      <c r="F35" s="2"/>
      <c r="G35" s="2"/>
      <c r="H35" s="2"/>
      <c r="I35" s="2"/>
      <c r="J35" s="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8"/>
      <c r="B36" s="2"/>
      <c r="C36" s="2"/>
      <c r="D36" s="2"/>
      <c r="E36" s="2"/>
      <c r="F36" s="2"/>
      <c r="G36" s="2"/>
      <c r="H36" s="2"/>
      <c r="I36" s="2"/>
      <c r="J36" s="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8"/>
      <c r="B37" s="2"/>
      <c r="C37" s="2"/>
      <c r="D37" s="2"/>
      <c r="E37" s="2"/>
      <c r="F37" s="2"/>
      <c r="G37" s="2"/>
      <c r="H37" s="2"/>
      <c r="I37" s="2"/>
      <c r="J37" s="2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5" t="str">
        <f>IFERROR(__xludf.DUMMYFUNCTION(" IF(QUERY(Home!C5)=""Overweight"", ""Overweight (Active)"", ""Overweight"")"),"Overweight")</f>
        <v>Overweight</v>
      </c>
      <c r="B38" s="6"/>
      <c r="C38" s="6"/>
      <c r="D38" s="6"/>
      <c r="E38" s="6"/>
      <c r="F38" s="6"/>
      <c r="G38" s="6"/>
      <c r="H38" s="6"/>
      <c r="I38" s="6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1"/>
      <c r="B39" s="1"/>
      <c r="C39" s="42"/>
      <c r="D39" s="19"/>
      <c r="E39" s="3"/>
      <c r="F39" s="2"/>
      <c r="G39" s="2"/>
      <c r="H39" s="2"/>
      <c r="I39" s="2"/>
      <c r="J39" s="2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1" t="str">
        <f>IFERROR(__xludf.DUMMYFUNCTION("Query('Source Data'!M2)"),"PEDIX")</f>
        <v>PEDIX</v>
      </c>
      <c r="B40" s="33" t="s">
        <v>4</v>
      </c>
      <c r="C40" s="34">
        <f>IFERROR(__xludf.DUMMYFUNCTION(" Query('Source Data'!T2)"),0.075)</f>
        <v>0.075</v>
      </c>
      <c r="D40" s="35">
        <f>IFERROR(__xludf.DUMMYFUNCTION(" QUERY(Home!B10) * C40"),30000.0)</f>
        <v>30000</v>
      </c>
      <c r="E40" s="3"/>
      <c r="F40" s="2"/>
      <c r="G40" s="2"/>
      <c r="H40" s="2"/>
      <c r="I40" s="2"/>
      <c r="J40" s="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1" t="str">
        <f>IFERROR(__xludf.DUMMYFUNCTION("Query('Source Data'!M3)"),"PTCIX")</f>
        <v>PTCIX</v>
      </c>
      <c r="B41" s="33" t="s">
        <v>4</v>
      </c>
      <c r="C41" s="34">
        <f>IFERROR(__xludf.DUMMYFUNCTION(" Query('Source Data'!T3)"),0.075)</f>
        <v>0.075</v>
      </c>
      <c r="D41" s="35">
        <f>IFERROR(__xludf.DUMMYFUNCTION(" QUERY(Home!B10) * C41"),30000.0)</f>
        <v>30000</v>
      </c>
      <c r="E41" s="3"/>
      <c r="F41" s="2"/>
      <c r="G41" s="2"/>
      <c r="H41" s="2"/>
      <c r="I41" s="2"/>
      <c r="J41" s="2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1" t="str">
        <f>IFERROR(__xludf.DUMMYFUNCTION("Query('Source Data'!M4)"),"PIGIX")</f>
        <v>PIGIX</v>
      </c>
      <c r="B42" s="33" t="s">
        <v>5</v>
      </c>
      <c r="C42" s="34">
        <f>IFERROR(__xludf.DUMMYFUNCTION(" Query('Source Data'!T4)"),0.075)</f>
        <v>0.075</v>
      </c>
      <c r="D42" s="35">
        <f>IFERROR(__xludf.DUMMYFUNCTION(" QUERY(Home!B10) * C42"),30000.0)</f>
        <v>30000</v>
      </c>
      <c r="E42" s="3"/>
      <c r="F42" s="2"/>
      <c r="G42" s="2"/>
      <c r="H42" s="2"/>
      <c r="I42" s="2"/>
      <c r="J42" s="2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1" t="str">
        <f>IFERROR(__xludf.DUMMYFUNCTION("Query('Source Data'!M5)"),"PGOVX")</f>
        <v>PGOVX</v>
      </c>
      <c r="B43" s="33" t="s">
        <v>5</v>
      </c>
      <c r="C43" s="34">
        <f>IFERROR(__xludf.DUMMYFUNCTION(" Query('Source Data'!T5)"),0.075)</f>
        <v>0.075</v>
      </c>
      <c r="D43" s="35">
        <f>IFERROR(__xludf.DUMMYFUNCTION(" QUERY(Home!B10) * C43"),30000.0)</f>
        <v>30000</v>
      </c>
      <c r="E43" s="3"/>
      <c r="F43" s="2"/>
      <c r="G43" s="2"/>
      <c r="H43" s="2"/>
      <c r="I43" s="2"/>
      <c r="J43" s="2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1" t="str">
        <f>IFERROR(__xludf.DUMMYFUNCTION("Query('Source Data'!M6)"),"DFGBX")</f>
        <v>DFGBX</v>
      </c>
      <c r="B44" s="33" t="s">
        <v>5</v>
      </c>
      <c r="C44" s="34">
        <f>IFERROR(__xludf.DUMMYFUNCTION(" Query('Source Data'!T6)"),0.15)</f>
        <v>0.15</v>
      </c>
      <c r="D44" s="35">
        <f>IFERROR(__xludf.DUMMYFUNCTION(" QUERY(Home!B10) * C44"),60000.0)</f>
        <v>60000</v>
      </c>
      <c r="E44" s="3"/>
      <c r="F44" s="2"/>
      <c r="G44" s="2"/>
      <c r="H44" s="2"/>
      <c r="I44" s="2"/>
      <c r="J44" s="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1" t="str">
        <f>IFERROR(__xludf.DUMMYFUNCTION("Query('Source Data'!M7)"),"VSGDX")</f>
        <v>VSGDX</v>
      </c>
      <c r="B45" s="33" t="s">
        <v>5</v>
      </c>
      <c r="C45" s="34">
        <f>IFERROR(__xludf.DUMMYFUNCTION(" Query('Source Data'!T7)"),0.05)</f>
        <v>0.05</v>
      </c>
      <c r="D45" s="35">
        <f>IFERROR(__xludf.DUMMYFUNCTION(" QUERY(Home!B10) * C45"),20000.0)</f>
        <v>20000</v>
      </c>
      <c r="E45" s="3"/>
      <c r="F45" s="2"/>
      <c r="G45" s="2"/>
      <c r="H45" s="2"/>
      <c r="I45" s="2"/>
      <c r="J45" s="2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1" t="str">
        <f>IFERROR(__xludf.DUMMYFUNCTION("Query('Source Data'!M8)"),"DFIGX")</f>
        <v>DFIGX</v>
      </c>
      <c r="B46" s="33" t="s">
        <v>5</v>
      </c>
      <c r="C46" s="34">
        <f>IFERROR(__xludf.DUMMYFUNCTION(" Query('Source Data'!T8)"),0.2)</f>
        <v>0.2</v>
      </c>
      <c r="D46" s="35">
        <f>IFERROR(__xludf.DUMMYFUNCTION(" QUERY(Home!B10) * C46"),80000.0)</f>
        <v>80000</v>
      </c>
      <c r="E46" s="2"/>
      <c r="F46" s="2"/>
      <c r="G46" s="2"/>
      <c r="H46" s="2"/>
      <c r="I46" s="2"/>
      <c r="J46" s="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1" t="str">
        <f>IFERROR(__xludf.DUMMYFUNCTION("Query('Source Data'!M9)"),"PTSHX")</f>
        <v>PTSHX</v>
      </c>
      <c r="B47" s="33" t="s">
        <v>5</v>
      </c>
      <c r="C47" s="34">
        <f>IFERROR(__xludf.DUMMYFUNCTION(" Query('Source Data'!T9)"),0.05)</f>
        <v>0.05</v>
      </c>
      <c r="D47" s="35">
        <f>IFERROR(__xludf.DUMMYFUNCTION(" QUERY(Home!B10) * C47"),20000.0)</f>
        <v>20000</v>
      </c>
      <c r="E47" s="3"/>
      <c r="F47" s="2"/>
      <c r="G47" s="2"/>
      <c r="H47" s="2"/>
      <c r="I47" s="2"/>
      <c r="J47" s="2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1" t="str">
        <f>IFERROR(__xludf.DUMMYFUNCTION("Query('Source Data'!M10)"),"VFIRX")</f>
        <v>VFIRX</v>
      </c>
      <c r="B48" s="33" t="s">
        <v>5</v>
      </c>
      <c r="C48" s="34">
        <f>IFERROR(__xludf.DUMMYFUNCTION(" Query('Source Data'!T10)"),0.05)</f>
        <v>0.05</v>
      </c>
      <c r="D48" s="35">
        <f>IFERROR(__xludf.DUMMYFUNCTION(" QUERY(Home!B10) * C48"),20000.0)</f>
        <v>20000</v>
      </c>
      <c r="E48" s="3"/>
      <c r="F48" s="2"/>
      <c r="G48" s="2"/>
      <c r="H48" s="2"/>
      <c r="I48" s="2"/>
      <c r="J48" s="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1" t="str">
        <f>IFERROR(__xludf.DUMMYFUNCTION("Query('Source Data'!M11)"),"PAIDX")</f>
        <v>PAIDX</v>
      </c>
      <c r="B49" s="33" t="s">
        <v>5</v>
      </c>
      <c r="C49" s="34">
        <f>IFERROR(__xludf.DUMMYFUNCTION(" Query('Source Data'!T11)"),0.05)</f>
        <v>0.05</v>
      </c>
      <c r="D49" s="35">
        <f>IFERROR(__xludf.DUMMYFUNCTION(" QUERY(Home!B10) * C49"),20000.0)</f>
        <v>20000</v>
      </c>
      <c r="E49" s="3"/>
      <c r="F49" s="2"/>
      <c r="G49" s="2"/>
      <c r="H49" s="2"/>
      <c r="I49" s="1"/>
      <c r="J49" s="2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1" t="str">
        <f>IFERROR(__xludf.DUMMYFUNCTION("Query('Source Data'!M12)"),"PTTRX")</f>
        <v>PTTRX</v>
      </c>
      <c r="B50" s="33" t="s">
        <v>5</v>
      </c>
      <c r="C50" s="34">
        <f>IFERROR(__xludf.DUMMYFUNCTION(" Query('Source Data'!T12)"),0.15)</f>
        <v>0.15</v>
      </c>
      <c r="D50" s="35">
        <f>IFERROR(__xludf.DUMMYFUNCTION(" QUERY(Home!B10) * C50"),60000.0)</f>
        <v>60000</v>
      </c>
      <c r="E50" s="3"/>
      <c r="F50" s="2"/>
      <c r="G50" s="2"/>
      <c r="H50" s="2"/>
      <c r="I50" s="2"/>
      <c r="J50" s="2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1" t="str">
        <f>IFERROR(__xludf.DUMMYFUNCTION("Query('Source Data'!M13)"),"PCARX")</f>
        <v>PCARX</v>
      </c>
      <c r="B51" s="33" t="s">
        <v>5</v>
      </c>
      <c r="C51" s="34">
        <f>IFERROR(__xludf.DUMMYFUNCTION(" Query('Source Data'!T13)"),0.0)</f>
        <v>0</v>
      </c>
      <c r="D51" s="35">
        <f>IFERROR(__xludf.DUMMYFUNCTION(" QUERY(Home!B10) * C51"),0.0)</f>
        <v>0</v>
      </c>
      <c r="E51" s="3"/>
      <c r="F51" s="2"/>
      <c r="G51" s="2"/>
      <c r="H51" s="2"/>
      <c r="I51" s="2"/>
      <c r="J51" s="2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1"/>
      <c r="B52" s="33"/>
      <c r="C52" s="43"/>
      <c r="D52" s="35"/>
      <c r="E52" s="3"/>
      <c r="F52" s="2"/>
      <c r="G52" s="2"/>
      <c r="H52" s="2"/>
      <c r="I52" s="2"/>
      <c r="J52" s="2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4"/>
      <c r="B53" s="45"/>
      <c r="C53" s="46"/>
      <c r="D53" s="47"/>
      <c r="E53" s="3"/>
      <c r="F53" s="2"/>
      <c r="G53" s="2"/>
      <c r="H53" s="2"/>
      <c r="I53" s="2"/>
      <c r="J53" s="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8"/>
      <c r="B54" s="48" t="s">
        <v>8</v>
      </c>
      <c r="C54" s="49">
        <f t="shared" ref="C54:D54" si="3">SUM(C40:C52)</f>
        <v>1</v>
      </c>
      <c r="D54" s="50">
        <f t="shared" si="3"/>
        <v>400000</v>
      </c>
      <c r="E54" s="51"/>
      <c r="F54" s="36"/>
      <c r="G54" s="36"/>
      <c r="H54" s="36"/>
      <c r="I54" s="36"/>
      <c r="J54" s="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8"/>
      <c r="B55" s="51"/>
      <c r="C55" s="51"/>
      <c r="D55" s="51"/>
      <c r="E55" s="51"/>
      <c r="F55" s="36"/>
      <c r="G55" s="36"/>
      <c r="H55" s="36"/>
      <c r="I55" s="36"/>
      <c r="J55" s="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8"/>
      <c r="B56" s="51"/>
      <c r="C56" s="51"/>
      <c r="D56" s="51"/>
      <c r="E56" s="51"/>
      <c r="F56" s="36"/>
      <c r="G56" s="36"/>
      <c r="H56" s="36"/>
      <c r="I56" s="36"/>
      <c r="J56" s="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</sheetData>
  <mergeCells count="3">
    <mergeCell ref="A2:J2"/>
    <mergeCell ref="A20:J20"/>
    <mergeCell ref="A38:J38"/>
  </mergeCells>
  <conditionalFormatting sqref="A38">
    <cfRule type="containsText" dxfId="0" priority="1" operator="containsText" text="Overweight (Active)">
      <formula>NOT(ISERROR(SEARCH(("Overweight (Active)"),(A38))))</formula>
    </cfRule>
  </conditionalFormatting>
  <conditionalFormatting sqref="A38">
    <cfRule type="containsText" dxfId="1" priority="2" operator="containsText" text="Overweight">
      <formula>NOT(ISERROR(SEARCH(("Overweight"),(A38))))</formula>
    </cfRule>
  </conditionalFormatting>
  <conditionalFormatting sqref="A20">
    <cfRule type="containsText" dxfId="2" priority="3" operator="containsText" text="Underweight (Active)">
      <formula>NOT(ISERROR(SEARCH(("Underweight (Active)"),(A20))))</formula>
    </cfRule>
  </conditionalFormatting>
  <conditionalFormatting sqref="A20">
    <cfRule type="containsText" dxfId="3" priority="4" operator="containsText" text="Underweight">
      <formula>NOT(ISERROR(SEARCH(("Underweight"),(A20))))</formula>
    </cfRule>
  </conditionalFormatting>
  <conditionalFormatting sqref="A2">
    <cfRule type="containsText" dxfId="4" priority="5" operator="containsText" text="Neutral (Active)">
      <formula>NOT(ISERROR(SEARCH(("Neutral (Active)"),(A2))))</formula>
    </cfRule>
  </conditionalFormatting>
  <conditionalFormatting sqref="A2">
    <cfRule type="containsText" dxfId="5" priority="6" operator="containsText" text="Neutral">
      <formula>NOT(ISERROR(SEARCH(("Neutral"),(A2))))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5" width="11.43"/>
    <col customWidth="1" min="6" max="6" width="12.29"/>
    <col customWidth="1" min="7" max="8" width="12.71"/>
    <col customWidth="1" min="9" max="9" width="9.14"/>
    <col customWidth="1" min="10" max="25" width="8.86"/>
  </cols>
  <sheetData>
    <row r="1">
      <c r="A1" s="88" t="s">
        <v>25</v>
      </c>
      <c r="B1" s="26"/>
      <c r="C1" s="26"/>
      <c r="D1" s="89"/>
      <c r="E1" s="90"/>
      <c r="F1" s="91"/>
      <c r="G1" s="92"/>
      <c r="H1" s="91"/>
      <c r="I1" s="9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6"/>
      <c r="B2" s="26"/>
      <c r="C2" s="26"/>
      <c r="D2" s="26"/>
      <c r="E2" s="26"/>
      <c r="F2" s="94"/>
      <c r="G2" s="94"/>
      <c r="H2" s="94"/>
      <c r="I2" s="26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 t="str">
        <f>IFERROR(__xludf.DUMMYFUNCTION(" IF(QUERY(Home!C3)=""Neutral"", ""Neutral (Active)"", ""Neutral"")"),"Neutral (Active)")</f>
        <v>Neutral (Active)</v>
      </c>
      <c r="B3" s="6"/>
      <c r="C3" s="6"/>
      <c r="D3" s="6"/>
      <c r="E3" s="6"/>
      <c r="F3" s="6"/>
      <c r="G3" s="6"/>
      <c r="H3" s="6"/>
      <c r="I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95" t="str">
        <f>IFERROR(__xludf.DUMMYFUNCTION("Query('Source Data'!V2)"),"SPAIX")</f>
        <v>SPAIX</v>
      </c>
      <c r="B4" s="96" t="s">
        <v>26</v>
      </c>
      <c r="C4" s="43">
        <f>IFERROR(__xludf.DUMMYFUNCTION(" Query('Source Data'!Y2)"),0.05)</f>
        <v>0.05</v>
      </c>
      <c r="D4" s="97">
        <f>IFERROR(__xludf.DUMMYFUNCTION(" QUERY(Home!B11) * C4"),10000.0)</f>
        <v>10000</v>
      </c>
      <c r="E4" s="93"/>
      <c r="F4" s="94"/>
      <c r="G4" s="94"/>
      <c r="H4" s="94"/>
      <c r="I4" s="2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95" t="str">
        <f>IFERROR(__xludf.DUMMYFUNCTION("Query('Source Data'!V3)"),"PRPFX")</f>
        <v>PRPFX</v>
      </c>
      <c r="B5" s="96" t="s">
        <v>26</v>
      </c>
      <c r="C5" s="43">
        <f>IFERROR(__xludf.DUMMYFUNCTION(" Query('Source Data'!Y3)"),0.05)</f>
        <v>0.05</v>
      </c>
      <c r="D5" s="97">
        <f>IFERROR(__xludf.DUMMYFUNCTION(" QUERY(Home!B11) * C5"),10000.0)</f>
        <v>10000</v>
      </c>
      <c r="E5" s="93"/>
      <c r="F5" s="94"/>
      <c r="G5" s="94"/>
      <c r="H5" s="94"/>
      <c r="I5" s="2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95" t="str">
        <f>IFERROR(__xludf.DUMMYFUNCTION("Query('Source Data'!V4)"),"BTFIX")</f>
        <v>BTFIX</v>
      </c>
      <c r="B6" s="96" t="s">
        <v>26</v>
      </c>
      <c r="C6" s="43">
        <f>IFERROR(__xludf.DUMMYFUNCTION(" Query('Source Data'!Y4)"),0.15)</f>
        <v>0.15</v>
      </c>
      <c r="D6" s="97">
        <f>IFERROR(__xludf.DUMMYFUNCTION(" QUERY(Home!B11) * C6"),30000.0)</f>
        <v>30000</v>
      </c>
      <c r="E6" s="93"/>
      <c r="F6" s="94"/>
      <c r="G6" s="94"/>
      <c r="H6" s="94"/>
      <c r="I6" s="26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5" t="str">
        <f>IFERROR(__xludf.DUMMYFUNCTION("Query('Source Data'!V5)"),"LONGX")</f>
        <v>LONGX</v>
      </c>
      <c r="B7" s="96" t="s">
        <v>26</v>
      </c>
      <c r="C7" s="43">
        <f>IFERROR(__xludf.DUMMYFUNCTION(" Query('Source Data'!Y5)"),0.05)</f>
        <v>0.05</v>
      </c>
      <c r="D7" s="97">
        <f>IFERROR(__xludf.DUMMYFUNCTION(" QUERY(Home!B11) * C7"),10000.0)</f>
        <v>10000</v>
      </c>
      <c r="E7" s="93"/>
      <c r="F7" s="94"/>
      <c r="G7" s="94"/>
      <c r="H7" s="94"/>
      <c r="I7" s="2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95" t="str">
        <f>IFERROR(__xludf.DUMMYFUNCTION("Query('Source Data'!V6)"),"CPLIX")</f>
        <v>CPLIX</v>
      </c>
      <c r="B8" s="96" t="s">
        <v>26</v>
      </c>
      <c r="C8" s="43">
        <f>IFERROR(__xludf.DUMMYFUNCTION(" Query('Source Data'!Y6)"),0.05)</f>
        <v>0.05</v>
      </c>
      <c r="D8" s="97">
        <f>IFERROR(__xludf.DUMMYFUNCTION(" QUERY(Home!B11) * C8"),10000.0)</f>
        <v>10000</v>
      </c>
      <c r="E8" s="93"/>
      <c r="F8" s="94"/>
      <c r="G8" s="94"/>
      <c r="H8" s="94"/>
      <c r="I8" s="2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95" t="str">
        <f>IFERROR(__xludf.DUMMYFUNCTION("Query('Source Data'!V7)"),"QLEIX")</f>
        <v>QLEIX</v>
      </c>
      <c r="B9" s="96" t="s">
        <v>26</v>
      </c>
      <c r="C9" s="43">
        <f>IFERROR(__xludf.DUMMYFUNCTION(" Query('Source Data'!Y7)"),0.05)</f>
        <v>0.05</v>
      </c>
      <c r="D9" s="98">
        <f>IFERROR(__xludf.DUMMYFUNCTION(" QUERY(Home!B11) * C9"),10000.0)</f>
        <v>10000</v>
      </c>
      <c r="E9" s="93"/>
      <c r="F9" s="94"/>
      <c r="G9" s="94"/>
      <c r="H9" s="94"/>
      <c r="I9" s="2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95" t="str">
        <f>IFERROR(__xludf.DUMMYFUNCTION("Query('Source Data'!V8)"),"QMNIX")</f>
        <v>QMNIX</v>
      </c>
      <c r="B10" s="96" t="s">
        <v>26</v>
      </c>
      <c r="C10" s="43">
        <f>IFERROR(__xludf.DUMMYFUNCTION(" Query('Source Data'!Y8)"),0.3)</f>
        <v>0.3</v>
      </c>
      <c r="D10" s="98">
        <f>IFERROR(__xludf.DUMMYFUNCTION(" QUERY(Home!B11) * C10"),60000.0)</f>
        <v>60000</v>
      </c>
      <c r="E10" s="93"/>
      <c r="F10" s="94"/>
      <c r="G10" s="94"/>
      <c r="H10" s="94"/>
      <c r="I10" s="2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95" t="str">
        <f>IFERROR(__xludf.DUMMYFUNCTION("Query('Source Data'!V9)"),"QRPIX")</f>
        <v>QRPIX</v>
      </c>
      <c r="B11" s="96" t="s">
        <v>26</v>
      </c>
      <c r="C11" s="43">
        <f>IFERROR(__xludf.DUMMYFUNCTION(" Query('Source Data'!Y9)"),0.2)</f>
        <v>0.2</v>
      </c>
      <c r="D11" s="98">
        <f>IFERROR(__xludf.DUMMYFUNCTION(" QUERY(Home!B11) * C11"),40000.0)</f>
        <v>40000</v>
      </c>
      <c r="E11" s="93"/>
      <c r="F11" s="94"/>
      <c r="G11" s="94"/>
      <c r="H11" s="94"/>
      <c r="I11" s="2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95" t="str">
        <f>IFERROR(__xludf.DUMMYFUNCTION("Query('Source Data'!V10)"),"QMHIX")</f>
        <v>QMHIX</v>
      </c>
      <c r="B12" s="96" t="s">
        <v>26</v>
      </c>
      <c r="C12" s="43">
        <f>IFERROR(__xludf.DUMMYFUNCTION(" Query('Source Data'!Y10)"),0.05)</f>
        <v>0.05</v>
      </c>
      <c r="D12" s="98">
        <f>IFERROR(__xludf.DUMMYFUNCTION(" QUERY(Home!B11) * C12"),10000.0)</f>
        <v>10000</v>
      </c>
      <c r="E12" s="93"/>
      <c r="F12" s="94"/>
      <c r="G12" s="94"/>
      <c r="H12" s="94"/>
      <c r="I12" s="26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95" t="str">
        <f>IFERROR(__xludf.DUMMYFUNCTION("Query('Source Data'!V11)"),"WAVIX")</f>
        <v>WAVIX</v>
      </c>
      <c r="B13" s="96" t="s">
        <v>26</v>
      </c>
      <c r="C13" s="43">
        <f>IFERROR(__xludf.DUMMYFUNCTION(" Query('Source Data'!Y11)"),0.05)</f>
        <v>0.05</v>
      </c>
      <c r="D13" s="98">
        <f>IFERROR(__xludf.DUMMYFUNCTION(" QUERY(Home!B11) * C13"),10000.0)</f>
        <v>10000</v>
      </c>
      <c r="E13" s="93"/>
      <c r="F13" s="94"/>
      <c r="G13" s="94"/>
      <c r="H13" s="94"/>
      <c r="I13" s="2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95" t="str">
        <f>IFERROR(__xludf.DUMMYFUNCTION("Query('Source Data'!V12)"),"PBRIX")</f>
        <v>PBRIX</v>
      </c>
      <c r="B14" s="96" t="s">
        <v>26</v>
      </c>
      <c r="C14" s="43">
        <f>IFERROR(__xludf.DUMMYFUNCTION(" Query('Source Data'!Y12)"),0.0)</f>
        <v>0</v>
      </c>
      <c r="D14" s="98">
        <f>IFERROR(__xludf.DUMMYFUNCTION(" QUERY(Home!B11) * C14"),0.0)</f>
        <v>0</v>
      </c>
      <c r="E14" s="93"/>
      <c r="F14" s="94"/>
      <c r="G14" s="94"/>
      <c r="H14" s="94"/>
      <c r="I14" s="26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95" t="str">
        <f>IFERROR(__xludf.DUMMYFUNCTION("Query('Source Data'!V13)"),"ARCIX")</f>
        <v>ARCIX</v>
      </c>
      <c r="B15" s="96" t="s">
        <v>26</v>
      </c>
      <c r="C15" s="43">
        <f>IFERROR(__xludf.DUMMYFUNCTION(" Query('Source Data'!Y13)"),0.0)</f>
        <v>0</v>
      </c>
      <c r="D15" s="98">
        <f>IFERROR(__xludf.DUMMYFUNCTION(" QUERY(Home!B11) * C15"),0.0)</f>
        <v>0</v>
      </c>
      <c r="E15" s="93"/>
      <c r="F15" s="94"/>
      <c r="G15" s="94"/>
      <c r="H15" s="94"/>
      <c r="I15" s="26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5" t="str">
        <f>IFERROR(__xludf.DUMMYFUNCTION("Query('Source Data'!V14)"),"VGPMX")</f>
        <v>VGPMX</v>
      </c>
      <c r="B16" s="96" t="s">
        <v>26</v>
      </c>
      <c r="C16" s="43">
        <f>IFERROR(__xludf.DUMMYFUNCTION(" Query('Source Data'!Y14)"),0.0)</f>
        <v>0</v>
      </c>
      <c r="D16" s="98">
        <f>IFERROR(__xludf.DUMMYFUNCTION(" QUERY(Home!B11) * C16"),0.0)</f>
        <v>0</v>
      </c>
      <c r="E16" s="93"/>
      <c r="F16" s="94"/>
      <c r="G16" s="94"/>
      <c r="H16" s="94"/>
      <c r="I16" s="2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6"/>
      <c r="B17" s="90"/>
      <c r="C17" s="65"/>
      <c r="D17" s="65"/>
      <c r="E17" s="93"/>
      <c r="F17" s="94"/>
      <c r="G17" s="94"/>
      <c r="H17" s="94"/>
      <c r="I17" s="26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6"/>
      <c r="B18" s="90"/>
      <c r="C18" s="99">
        <f t="shared" ref="C18:D18" si="1"> SUM(C4:C16)</f>
        <v>1</v>
      </c>
      <c r="D18" s="100">
        <f t="shared" si="1"/>
        <v>200000</v>
      </c>
      <c r="E18" s="93"/>
      <c r="F18" s="94"/>
      <c r="G18" s="94"/>
      <c r="H18" s="94"/>
      <c r="I18" s="26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5" t="str">
        <f>IFERROR(__xludf.DUMMYFUNCTION(" IF(QUERY(Home!C3)=""Underweight"", ""Underweight (Active)"", ""Underweight"")"),"Underweight")</f>
        <v>Underweight</v>
      </c>
      <c r="B19" s="16"/>
      <c r="C19" s="16"/>
      <c r="D19" s="16"/>
      <c r="E19" s="16"/>
      <c r="F19" s="16"/>
      <c r="G19" s="16"/>
      <c r="H19" s="16"/>
      <c r="I19" s="1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0" t="str">
        <f>IFERROR(__xludf.DUMMYFUNCTION("Query('Source Data'!V2)"),"SPAIX")</f>
        <v>SPAIX</v>
      </c>
      <c r="B20" s="101" t="s">
        <v>26</v>
      </c>
      <c r="C20" s="43">
        <f>IFERROR(__xludf.DUMMYFUNCTION(" Query('Source Data'!AA2)"),0.0)</f>
        <v>0</v>
      </c>
      <c r="D20" s="56">
        <f>IFERROR(__xludf.DUMMYFUNCTION(" QUERY(Home!B11) * C20"),0.0)</f>
        <v>0</v>
      </c>
      <c r="E20" s="26"/>
      <c r="F20" s="94"/>
      <c r="G20" s="94"/>
      <c r="H20" s="94"/>
      <c r="I20" s="26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0" t="str">
        <f>IFERROR(__xludf.DUMMYFUNCTION("Query('Source Data'!V3)"),"PRPFX")</f>
        <v>PRPFX</v>
      </c>
      <c r="B21" s="101" t="s">
        <v>26</v>
      </c>
      <c r="C21" s="43">
        <f>IFERROR(__xludf.DUMMYFUNCTION(" Query('Source Data'!AA3)"),0.0)</f>
        <v>0</v>
      </c>
      <c r="D21" s="56">
        <f>IFERROR(__xludf.DUMMYFUNCTION(" QUERY(Home!B11) * C21"),0.0)</f>
        <v>0</v>
      </c>
      <c r="E21" s="26"/>
      <c r="F21" s="94"/>
      <c r="G21" s="94"/>
      <c r="H21" s="94"/>
      <c r="I21" s="2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0" t="str">
        <f>IFERROR(__xludf.DUMMYFUNCTION("Query('Source Data'!V4)"),"BTFIX")</f>
        <v>BTFIX</v>
      </c>
      <c r="B22" s="101" t="s">
        <v>26</v>
      </c>
      <c r="C22" s="43">
        <f>IFERROR(__xludf.DUMMYFUNCTION(" Query('Source Data'!AA4)"),0.0)</f>
        <v>0</v>
      </c>
      <c r="D22" s="56">
        <f>IFERROR(__xludf.DUMMYFUNCTION(" QUERY(Home!B11) * C22"),0.0)</f>
        <v>0</v>
      </c>
      <c r="E22" s="26"/>
      <c r="F22" s="94"/>
      <c r="G22" s="94"/>
      <c r="H22" s="94"/>
      <c r="I22" s="2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0" t="str">
        <f>IFERROR(__xludf.DUMMYFUNCTION("Query('Source Data'!V5)"),"LONGX")</f>
        <v>LONGX</v>
      </c>
      <c r="B23" s="101" t="s">
        <v>26</v>
      </c>
      <c r="C23" s="43">
        <f>IFERROR(__xludf.DUMMYFUNCTION(" Query('Source Data'!AA5)"),0.0)</f>
        <v>0</v>
      </c>
      <c r="D23" s="56">
        <f>IFERROR(__xludf.DUMMYFUNCTION(" QUERY(Home!B11) * C23"),0.0)</f>
        <v>0</v>
      </c>
      <c r="E23" s="26"/>
      <c r="F23" s="94"/>
      <c r="G23" s="94"/>
      <c r="H23" s="94"/>
      <c r="I23" s="2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0" t="str">
        <f>IFERROR(__xludf.DUMMYFUNCTION("Query('Source Data'!V6)"),"CPLIX")</f>
        <v>CPLIX</v>
      </c>
      <c r="B24" s="101" t="s">
        <v>26</v>
      </c>
      <c r="C24" s="43">
        <f>IFERROR(__xludf.DUMMYFUNCTION(" Query('Source Data'!AA6)"),0.0)</f>
        <v>0</v>
      </c>
      <c r="D24" s="56">
        <f>IFERROR(__xludf.DUMMYFUNCTION(" QUERY(Home!B11) * C24"),0.0)</f>
        <v>0</v>
      </c>
      <c r="E24" s="26"/>
      <c r="F24" s="94"/>
      <c r="G24" s="94"/>
      <c r="H24" s="94"/>
      <c r="I24" s="2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02" t="str">
        <f>IFERROR(__xludf.DUMMYFUNCTION("Query('Source Data'!V7)"),"QLEIX")</f>
        <v>QLEIX</v>
      </c>
      <c r="B25" s="103" t="s">
        <v>26</v>
      </c>
      <c r="C25" s="43">
        <f>IFERROR(__xludf.DUMMYFUNCTION(" Query('Source Data'!AA7)"),0.037500000000000006)</f>
        <v>0.0375</v>
      </c>
      <c r="D25" s="104">
        <f>IFERROR(__xludf.DUMMYFUNCTION(" QUERY(Home!B11) * C25"),7500.000000000001)</f>
        <v>7500</v>
      </c>
      <c r="E25" s="26"/>
      <c r="F25" s="94"/>
      <c r="G25" s="94"/>
      <c r="H25" s="94"/>
      <c r="I25" s="2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02" t="str">
        <f>IFERROR(__xludf.DUMMYFUNCTION("Query('Source Data'!V8)"),"QMNIX")</f>
        <v>QMNIX</v>
      </c>
      <c r="B26" s="103" t="s">
        <v>26</v>
      </c>
      <c r="C26" s="43">
        <f>IFERROR(__xludf.DUMMYFUNCTION(" Query('Source Data'!AA8)"),0.037500000000000006)</f>
        <v>0.0375</v>
      </c>
      <c r="D26" s="104">
        <f>IFERROR(__xludf.DUMMYFUNCTION(" QUERY(Home!B11) * C26"),7500.000000000001)</f>
        <v>7500</v>
      </c>
      <c r="E26" s="93"/>
      <c r="F26" s="94"/>
      <c r="G26" s="94"/>
      <c r="H26" s="94"/>
      <c r="I26" s="2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02" t="str">
        <f>IFERROR(__xludf.DUMMYFUNCTION("Query('Source Data'!V9)"),"QRPIX")</f>
        <v>QRPIX</v>
      </c>
      <c r="B27" s="103" t="s">
        <v>26</v>
      </c>
      <c r="C27" s="43">
        <f>IFERROR(__xludf.DUMMYFUNCTION(" Query('Source Data'!AA9)"),0.037500000000000006)</f>
        <v>0.0375</v>
      </c>
      <c r="D27" s="104">
        <f>IFERROR(__xludf.DUMMYFUNCTION(" QUERY(Home!B11) * C27"),7500.000000000001)</f>
        <v>7500</v>
      </c>
      <c r="E27" s="93"/>
      <c r="F27" s="94"/>
      <c r="G27" s="94"/>
      <c r="H27" s="94"/>
      <c r="I27" s="2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02" t="str">
        <f>IFERROR(__xludf.DUMMYFUNCTION("Query('Source Data'!V10)"),"QMHIX")</f>
        <v>QMHIX</v>
      </c>
      <c r="B28" s="103" t="s">
        <v>26</v>
      </c>
      <c r="C28" s="43">
        <f>IFERROR(__xludf.DUMMYFUNCTION(" Query('Source Data'!AA10)"),0.15000000000000002)</f>
        <v>0.15</v>
      </c>
      <c r="D28" s="104">
        <f>IFERROR(__xludf.DUMMYFUNCTION(" QUERY(Home!B11) * C28"),30000.000000000004)</f>
        <v>30000</v>
      </c>
      <c r="E28" s="93"/>
      <c r="F28" s="94"/>
      <c r="G28" s="94"/>
      <c r="H28" s="94"/>
      <c r="I28" s="2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02" t="str">
        <f>IFERROR(__xludf.DUMMYFUNCTION("Query('Source Data'!V11)"),"WAVIX")</f>
        <v>WAVIX</v>
      </c>
      <c r="B29" s="103" t="s">
        <v>26</v>
      </c>
      <c r="C29" s="43">
        <f>IFERROR(__xludf.DUMMYFUNCTION(" Query('Source Data'!AA11)"),0.30000000000000004)</f>
        <v>0.3</v>
      </c>
      <c r="D29" s="104">
        <f>IFERROR(__xludf.DUMMYFUNCTION(" QUERY(Home!B11) * C29"),60000.00000000001)</f>
        <v>60000</v>
      </c>
      <c r="E29" s="93"/>
      <c r="F29" s="94"/>
      <c r="G29" s="94"/>
      <c r="H29" s="94"/>
      <c r="I29" s="2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02" t="str">
        <f>IFERROR(__xludf.DUMMYFUNCTION("Query('Source Data'!V12)"),"PBRIX")</f>
        <v>PBRIX</v>
      </c>
      <c r="B30" s="103" t="s">
        <v>26</v>
      </c>
      <c r="C30" s="43">
        <f>IFERROR(__xludf.DUMMYFUNCTION(" Query('Source Data'!AA12)"),0.1875)</f>
        <v>0.1875</v>
      </c>
      <c r="D30" s="104">
        <f>IFERROR(__xludf.DUMMYFUNCTION(" QUERY(Home!B11) * C30"),37500.0)</f>
        <v>37500</v>
      </c>
      <c r="E30" s="93"/>
      <c r="F30" s="94"/>
      <c r="G30" s="94"/>
      <c r="H30" s="94"/>
      <c r="I30" s="2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02" t="str">
        <f>IFERROR(__xludf.DUMMYFUNCTION("Query('Source Data'!V13)"),"ARCIX")</f>
        <v>ARCIX</v>
      </c>
      <c r="B31" s="103" t="s">
        <v>26</v>
      </c>
      <c r="C31" s="43">
        <f>IFERROR(__xludf.DUMMYFUNCTION(" Query('Source Data'!AA13)"),0.25)</f>
        <v>0.25</v>
      </c>
      <c r="D31" s="104">
        <f>IFERROR(__xludf.DUMMYFUNCTION(" QUERY(Home!B11) * C31"),50000.0)</f>
        <v>50000</v>
      </c>
      <c r="E31" s="93"/>
      <c r="F31" s="94"/>
      <c r="G31" s="94"/>
      <c r="H31" s="94"/>
      <c r="I31" s="2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02" t="str">
        <f>IFERROR(__xludf.DUMMYFUNCTION("Query('Source Data'!V14)"),"VGPMX")</f>
        <v>VGPMX</v>
      </c>
      <c r="B32" s="103" t="s">
        <v>26</v>
      </c>
      <c r="C32" s="43">
        <f>IFERROR(__xludf.DUMMYFUNCTION(" Query('Source Data'!AA14)"),0.0)</f>
        <v>0</v>
      </c>
      <c r="D32" s="104">
        <f>IFERROR(__xludf.DUMMYFUNCTION(" QUERY(Home!B11) * C32"),0.0)</f>
        <v>0</v>
      </c>
      <c r="E32" s="93"/>
      <c r="F32" s="94"/>
      <c r="G32" s="94"/>
      <c r="H32" s="94"/>
      <c r="I32" s="2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19"/>
      <c r="B33" s="119"/>
      <c r="C33" s="65"/>
      <c r="D33" s="65"/>
      <c r="E33" s="93"/>
      <c r="F33" s="26"/>
      <c r="G33" s="26"/>
      <c r="H33" s="26"/>
      <c r="I33" s="2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94"/>
      <c r="B34" s="120"/>
      <c r="C34" s="99">
        <f t="shared" ref="C34:D34" si="2"> SUM(C20:C32)</f>
        <v>1</v>
      </c>
      <c r="D34" s="100">
        <f t="shared" si="2"/>
        <v>200000</v>
      </c>
      <c r="E34" s="121"/>
      <c r="F34" s="122"/>
      <c r="G34" s="122"/>
      <c r="H34" s="122"/>
      <c r="I34" s="122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tr">
        <f>IFERROR(__xludf.DUMMYFUNCTION(" IF(QUERY(Home!C3)=""Overweight"", ""Overweight (Active)"", ""Overweight"")"),"Overweight")</f>
        <v>Overweight</v>
      </c>
      <c r="B35" s="6"/>
      <c r="C35" s="6"/>
      <c r="D35" s="6"/>
      <c r="E35" s="6"/>
      <c r="F35" s="6"/>
      <c r="G35" s="6"/>
      <c r="H35" s="6"/>
      <c r="I35" s="7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95" t="str">
        <f>IFERROR(__xludf.DUMMYFUNCTION("Query('Source Data'!V2)"),"SPAIX")</f>
        <v>SPAIX</v>
      </c>
      <c r="B36" s="95" t="s">
        <v>26</v>
      </c>
      <c r="C36" s="43">
        <f>IFERROR(__xludf.DUMMYFUNCTION(" Query('Source Data'!AC2)"),0.1)</f>
        <v>0.1</v>
      </c>
      <c r="D36" s="56">
        <f>IFERROR(__xludf.DUMMYFUNCTION(" QUERY(Home!B11) * C36"),20000.0)</f>
        <v>20000</v>
      </c>
      <c r="E36" s="26"/>
      <c r="F36" s="94"/>
      <c r="G36" s="94"/>
      <c r="H36" s="94"/>
      <c r="I36" s="2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95" t="str">
        <f>IFERROR(__xludf.DUMMYFUNCTION("Query('Source Data'!V3)"),"PRPFX")</f>
        <v>PRPFX</v>
      </c>
      <c r="B37" s="95" t="s">
        <v>26</v>
      </c>
      <c r="C37" s="43">
        <f>IFERROR(__xludf.DUMMYFUNCTION(" Query('Source Data'!AC3)"),0.1)</f>
        <v>0.1</v>
      </c>
      <c r="D37" s="56">
        <f>IFERROR(__xludf.DUMMYFUNCTION(" QUERY(Home!B11) * C37"),20000.0)</f>
        <v>20000</v>
      </c>
      <c r="E37" s="26"/>
      <c r="F37" s="94"/>
      <c r="G37" s="94"/>
      <c r="H37" s="94"/>
      <c r="I37" s="2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95" t="str">
        <f>IFERROR(__xludf.DUMMYFUNCTION("Query('Source Data'!V4)"),"BTFIX")</f>
        <v>BTFIX</v>
      </c>
      <c r="B38" s="95" t="s">
        <v>26</v>
      </c>
      <c r="C38" s="43">
        <f>IFERROR(__xludf.DUMMYFUNCTION(" Query('Source Data'!AC4)"),0.1)</f>
        <v>0.1</v>
      </c>
      <c r="D38" s="56">
        <f>IFERROR(__xludf.DUMMYFUNCTION(" QUERY(Home!B11) * C38"),20000.0)</f>
        <v>20000</v>
      </c>
      <c r="E38" s="26"/>
      <c r="F38" s="94"/>
      <c r="G38" s="94"/>
      <c r="H38" s="94"/>
      <c r="I38" s="2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95" t="str">
        <f>IFERROR(__xludf.DUMMYFUNCTION("Query('Source Data'!V5)"),"LONGX")</f>
        <v>LONGX</v>
      </c>
      <c r="B39" s="95" t="s">
        <v>26</v>
      </c>
      <c r="C39" s="43">
        <f>IFERROR(__xludf.DUMMYFUNCTION(" Query('Source Data'!AC5)"),0.2)</f>
        <v>0.2</v>
      </c>
      <c r="D39" s="56">
        <f>IFERROR(__xludf.DUMMYFUNCTION(" QUERY(Home!B11) * C39"),40000.0)</f>
        <v>40000</v>
      </c>
      <c r="E39" s="26"/>
      <c r="F39" s="94"/>
      <c r="G39" s="94"/>
      <c r="H39" s="94"/>
      <c r="I39" s="2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95" t="str">
        <f>IFERROR(__xludf.DUMMYFUNCTION("Query('Source Data'!V6)"),"CPLIX")</f>
        <v>CPLIX</v>
      </c>
      <c r="B40" s="95" t="s">
        <v>26</v>
      </c>
      <c r="C40" s="43">
        <f>IFERROR(__xludf.DUMMYFUNCTION(" Query('Source Data'!AC6)"),0.1)</f>
        <v>0.1</v>
      </c>
      <c r="D40" s="56">
        <f>IFERROR(__xludf.DUMMYFUNCTION(" QUERY(Home!B11) * C40"),20000.0)</f>
        <v>20000</v>
      </c>
      <c r="E40" s="26"/>
      <c r="F40" s="94"/>
      <c r="G40" s="94"/>
      <c r="H40" s="94"/>
      <c r="I40" s="2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23" t="str">
        <f>IFERROR(__xludf.DUMMYFUNCTION("Query('Source Data'!V7)"),"QLEIX")</f>
        <v>QLEIX</v>
      </c>
      <c r="B41" s="123" t="s">
        <v>26</v>
      </c>
      <c r="C41" s="43">
        <f>IFERROR(__xludf.DUMMYFUNCTION(" Query('Source Data'!AC7)"),0.15)</f>
        <v>0.15</v>
      </c>
      <c r="D41" s="104">
        <f>IFERROR(__xludf.DUMMYFUNCTION(" QUERY(Home!B11) * C41"),30000.0)</f>
        <v>30000</v>
      </c>
      <c r="E41" s="122"/>
      <c r="F41" s="122"/>
      <c r="G41" s="122"/>
      <c r="H41" s="122"/>
      <c r="I41" s="122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123" t="str">
        <f>IFERROR(__xludf.DUMMYFUNCTION("Query('Source Data'!V8)"),"QMNIX")</f>
        <v>QMNIX</v>
      </c>
      <c r="B42" s="123" t="s">
        <v>26</v>
      </c>
      <c r="C42" s="43">
        <f>IFERROR(__xludf.DUMMYFUNCTION(" Query('Source Data'!AC8)"),0.1)</f>
        <v>0.1</v>
      </c>
      <c r="D42" s="104">
        <f>IFERROR(__xludf.DUMMYFUNCTION(" QUERY(Home!B11) * C42"),20000.0)</f>
        <v>20000</v>
      </c>
      <c r="E42" s="121"/>
      <c r="F42" s="122"/>
      <c r="G42" s="122"/>
      <c r="H42" s="122"/>
      <c r="I42" s="122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123" t="str">
        <f>IFERROR(__xludf.DUMMYFUNCTION("Query('Source Data'!V9)"),"QRPIX")</f>
        <v>QRPIX</v>
      </c>
      <c r="B43" s="123" t="s">
        <v>26</v>
      </c>
      <c r="C43" s="43">
        <f>IFERROR(__xludf.DUMMYFUNCTION(" Query('Source Data'!AC9)"),0.05)</f>
        <v>0.05</v>
      </c>
      <c r="D43" s="104">
        <f>IFERROR(__xludf.DUMMYFUNCTION(" QUERY(Home!B11) * C43"),10000.0)</f>
        <v>10000</v>
      </c>
      <c r="E43" s="121"/>
      <c r="F43" s="122"/>
      <c r="G43" s="122"/>
      <c r="H43" s="122"/>
      <c r="I43" s="122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123" t="str">
        <f>IFERROR(__xludf.DUMMYFUNCTION("Query('Source Data'!V10)"),"QMHIX")</f>
        <v>QMHIX</v>
      </c>
      <c r="B44" s="123" t="s">
        <v>26</v>
      </c>
      <c r="C44" s="43">
        <f>IFERROR(__xludf.DUMMYFUNCTION(" Query('Source Data'!AC10)"),0.05)</f>
        <v>0.05</v>
      </c>
      <c r="D44" s="104">
        <f>IFERROR(__xludf.DUMMYFUNCTION(" QUERY(Home!B11) * C44"),10000.0)</f>
        <v>10000</v>
      </c>
      <c r="E44" s="121"/>
      <c r="F44" s="122"/>
      <c r="G44" s="122"/>
      <c r="H44" s="122"/>
      <c r="I44" s="122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123" t="str">
        <f>IFERROR(__xludf.DUMMYFUNCTION("Query('Source Data'!V11)"),"WAVIX")</f>
        <v>WAVIX</v>
      </c>
      <c r="B45" s="123" t="s">
        <v>26</v>
      </c>
      <c r="C45" s="43">
        <f>IFERROR(__xludf.DUMMYFUNCTION(" Query('Source Data'!AC11)"),0.05)</f>
        <v>0.05</v>
      </c>
      <c r="D45" s="104">
        <f>IFERROR(__xludf.DUMMYFUNCTION(" QUERY(Home!B11) * C45"),10000.0)</f>
        <v>10000</v>
      </c>
      <c r="E45" s="121"/>
      <c r="F45" s="122"/>
      <c r="G45" s="122"/>
      <c r="H45" s="122"/>
      <c r="I45" s="122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123" t="str">
        <f>IFERROR(__xludf.DUMMYFUNCTION("Query('Source Data'!V12)"),"PBRIX")</f>
        <v>PBRIX</v>
      </c>
      <c r="B46" s="123" t="s">
        <v>26</v>
      </c>
      <c r="C46" s="43">
        <f>IFERROR(__xludf.DUMMYFUNCTION(" Query('Source Data'!AC12)"),0.0)</f>
        <v>0</v>
      </c>
      <c r="D46" s="104">
        <f>IFERROR(__xludf.DUMMYFUNCTION(" QUERY(Home!B11) * C46"),0.0)</f>
        <v>0</v>
      </c>
      <c r="E46" s="121"/>
      <c r="F46" s="122"/>
      <c r="G46" s="122"/>
      <c r="H46" s="122"/>
      <c r="I46" s="12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123" t="str">
        <f>IFERROR(__xludf.DUMMYFUNCTION("Query('Source Data'!V13)"),"ARCIX")</f>
        <v>ARCIX</v>
      </c>
      <c r="B47" s="123" t="s">
        <v>26</v>
      </c>
      <c r="C47" s="43">
        <f>IFERROR(__xludf.DUMMYFUNCTION(" Query('Source Data'!AC13)"),0.0)</f>
        <v>0</v>
      </c>
      <c r="D47" s="104">
        <f>IFERROR(__xludf.DUMMYFUNCTION(" QUERY(Home!B11) * C47"),0.0)</f>
        <v>0</v>
      </c>
      <c r="E47" s="121"/>
      <c r="F47" s="122"/>
      <c r="G47" s="122"/>
      <c r="H47" s="122"/>
      <c r="I47" s="122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123" t="str">
        <f>IFERROR(__xludf.DUMMYFUNCTION("Query('Source Data'!V14)"),"VGPMX")</f>
        <v>VGPMX</v>
      </c>
      <c r="B48" s="123" t="s">
        <v>26</v>
      </c>
      <c r="C48" s="43">
        <f>IFERROR(__xludf.DUMMYFUNCTION(" Query('Source Data'!AC14)"),0.0)</f>
        <v>0</v>
      </c>
      <c r="D48" s="104">
        <f>IFERROR(__xludf.DUMMYFUNCTION(" QUERY(Home!B11) * C48"),0.0)</f>
        <v>0</v>
      </c>
      <c r="E48" s="121"/>
      <c r="F48" s="122"/>
      <c r="G48" s="122"/>
      <c r="H48" s="122"/>
      <c r="I48" s="122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19"/>
      <c r="B49" s="119"/>
      <c r="C49" s="65"/>
      <c r="D49" s="65"/>
      <c r="E49" s="121"/>
      <c r="F49" s="122"/>
      <c r="G49" s="122"/>
      <c r="H49" s="122"/>
      <c r="I49" s="122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94"/>
      <c r="B50" s="120"/>
      <c r="C50" s="99">
        <f t="shared" ref="C50:D50" si="3"> SUM(C36:C48)</f>
        <v>1</v>
      </c>
      <c r="D50" s="100">
        <f t="shared" si="3"/>
        <v>200000</v>
      </c>
      <c r="E50" s="121"/>
      <c r="F50" s="122"/>
      <c r="G50" s="122"/>
      <c r="H50" s="122"/>
      <c r="I50" s="122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26"/>
      <c r="B51" s="26"/>
      <c r="C51" s="94"/>
      <c r="D51" s="124"/>
      <c r="E51" s="122"/>
      <c r="F51" s="122"/>
      <c r="G51" s="122"/>
      <c r="H51" s="122"/>
      <c r="I51" s="122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26"/>
      <c r="B52" s="26"/>
      <c r="C52" s="26"/>
      <c r="D52" s="122"/>
      <c r="E52" s="122"/>
      <c r="F52" s="122"/>
      <c r="G52" s="122"/>
      <c r="H52" s="122"/>
      <c r="I52" s="12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26"/>
      <c r="B53" s="26"/>
      <c r="C53" s="26"/>
      <c r="D53" s="122"/>
      <c r="E53" s="122"/>
      <c r="F53" s="122"/>
      <c r="G53" s="122"/>
      <c r="H53" s="122"/>
      <c r="I53" s="12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26"/>
      <c r="B54" s="26"/>
      <c r="C54" s="26"/>
      <c r="D54" s="122"/>
      <c r="E54" s="122"/>
      <c r="F54" s="122"/>
      <c r="G54" s="122"/>
      <c r="H54" s="122"/>
      <c r="I54" s="12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26"/>
      <c r="B55" s="26"/>
      <c r="C55" s="26"/>
      <c r="D55" s="122"/>
      <c r="E55" s="122"/>
      <c r="F55" s="122"/>
      <c r="G55" s="122"/>
      <c r="H55" s="122"/>
      <c r="I55" s="12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26"/>
      <c r="B56" s="26"/>
      <c r="C56" s="26"/>
      <c r="D56" s="122"/>
      <c r="E56" s="122"/>
      <c r="F56" s="122"/>
      <c r="G56" s="122"/>
      <c r="H56" s="122"/>
      <c r="I56" s="12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26"/>
      <c r="B57" s="26"/>
      <c r="C57" s="26"/>
      <c r="D57" s="122"/>
      <c r="E57" s="122"/>
      <c r="F57" s="122"/>
      <c r="G57" s="122"/>
      <c r="H57" s="122"/>
      <c r="I57" s="12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26"/>
      <c r="B58" s="26"/>
      <c r="C58" s="26"/>
      <c r="D58" s="122"/>
      <c r="E58" s="122"/>
      <c r="F58" s="122"/>
      <c r="G58" s="122"/>
      <c r="H58" s="122"/>
      <c r="I58" s="12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26"/>
      <c r="B59" s="26"/>
      <c r="C59" s="26"/>
      <c r="D59" s="122"/>
      <c r="E59" s="122"/>
      <c r="F59" s="122"/>
      <c r="G59" s="122"/>
      <c r="H59" s="122"/>
      <c r="I59" s="12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26"/>
      <c r="B60" s="26"/>
      <c r="C60" s="26"/>
      <c r="D60" s="122"/>
      <c r="E60" s="122"/>
      <c r="F60" s="122"/>
      <c r="G60" s="122"/>
      <c r="H60" s="122"/>
      <c r="I60" s="12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26"/>
      <c r="B61" s="26"/>
      <c r="C61" s="26"/>
      <c r="D61" s="122"/>
      <c r="E61" s="122"/>
      <c r="F61" s="122"/>
      <c r="G61" s="122"/>
      <c r="H61" s="122"/>
      <c r="I61" s="12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26"/>
      <c r="B62" s="26"/>
      <c r="C62" s="26"/>
      <c r="D62" s="122"/>
      <c r="E62" s="122"/>
      <c r="F62" s="122"/>
      <c r="G62" s="122"/>
      <c r="H62" s="122"/>
      <c r="I62" s="12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26"/>
      <c r="B63" s="26"/>
      <c r="C63" s="26"/>
      <c r="D63" s="122" t="s">
        <v>49</v>
      </c>
      <c r="E63" s="122" t="s">
        <v>50</v>
      </c>
      <c r="F63" s="122" t="s">
        <v>51</v>
      </c>
      <c r="G63" s="122" t="s">
        <v>52</v>
      </c>
      <c r="H63" s="122" t="s">
        <v>53</v>
      </c>
      <c r="I63" s="122" t="s">
        <v>54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125" t="s">
        <v>55</v>
      </c>
      <c r="B64" s="26"/>
      <c r="C64" s="26"/>
      <c r="D64" s="126"/>
      <c r="E64" s="126"/>
      <c r="F64" s="128" t="s">
        <v>45</v>
      </c>
      <c r="G64" s="128" t="s">
        <v>48</v>
      </c>
      <c r="H64" s="128" t="s">
        <v>57</v>
      </c>
      <c r="I64" s="128" t="s">
        <v>58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125" t="s">
        <v>59</v>
      </c>
      <c r="B65" s="26"/>
      <c r="C65" s="26"/>
      <c r="D65" s="126"/>
      <c r="E65" s="126"/>
      <c r="F65" s="128" t="s">
        <v>39</v>
      </c>
      <c r="G65" s="126"/>
      <c r="H65" s="128" t="s">
        <v>60</v>
      </c>
      <c r="I65" s="12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125" t="s">
        <v>61</v>
      </c>
      <c r="B66" s="26"/>
      <c r="C66" s="126"/>
      <c r="D66" s="126"/>
      <c r="E66" s="126"/>
      <c r="F66" s="126"/>
      <c r="G66" s="126"/>
      <c r="H66" s="126"/>
      <c r="I66" s="2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125" t="s">
        <v>62</v>
      </c>
      <c r="B67" s="26"/>
      <c r="C67" s="26"/>
      <c r="D67" s="128" t="s">
        <v>63</v>
      </c>
      <c r="E67" s="126"/>
      <c r="F67" s="126"/>
      <c r="G67" s="126"/>
      <c r="H67" s="126"/>
      <c r="I67" s="2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29" t="s">
        <v>64</v>
      </c>
      <c r="B71" s="26"/>
      <c r="C71" s="26"/>
      <c r="D71" s="26"/>
      <c r="E71" s="26"/>
      <c r="F71" s="26"/>
      <c r="G71" s="26"/>
      <c r="H71" s="26"/>
      <c r="I71" s="2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129" t="s">
        <v>66</v>
      </c>
      <c r="B73" s="26"/>
      <c r="C73" s="26"/>
      <c r="D73" s="26"/>
      <c r="E73" s="26"/>
      <c r="F73" s="26"/>
      <c r="G73" s="26"/>
      <c r="H73" s="26"/>
      <c r="I73" s="2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</sheetData>
  <mergeCells count="3">
    <mergeCell ref="A3:I3"/>
    <mergeCell ref="A19:I19"/>
    <mergeCell ref="A35:I35"/>
  </mergeCells>
  <conditionalFormatting sqref="A35">
    <cfRule type="containsText" dxfId="0" priority="1" operator="containsText" text="Overweight (Active)">
      <formula>NOT(ISERROR(SEARCH(("Overweight (Active)"),(A35))))</formula>
    </cfRule>
  </conditionalFormatting>
  <conditionalFormatting sqref="A35">
    <cfRule type="containsText" dxfId="1" priority="2" operator="containsText" text="Overweight">
      <formula>NOT(ISERROR(SEARCH(("Overweight"),(A35))))</formula>
    </cfRule>
  </conditionalFormatting>
  <conditionalFormatting sqref="A19">
    <cfRule type="containsText" dxfId="2" priority="3" operator="containsText" text="Underweight (Active)">
      <formula>NOT(ISERROR(SEARCH(("Underweight (Active)"),(A19))))</formula>
    </cfRule>
  </conditionalFormatting>
  <conditionalFormatting sqref="A19">
    <cfRule type="containsText" dxfId="3" priority="4" operator="containsText" text="Underweight">
      <formula>NOT(ISERROR(SEARCH(("Underweight"),(A19))))</formula>
    </cfRule>
  </conditionalFormatting>
  <conditionalFormatting sqref="A3">
    <cfRule type="containsText" dxfId="4" priority="5" operator="containsText" text="Neutral (Active)">
      <formula>NOT(ISERROR(SEARCH(("Neutral (Active)"),(A3))))</formula>
    </cfRule>
  </conditionalFormatting>
  <conditionalFormatting sqref="A3">
    <cfRule type="containsText" dxfId="5" priority="6" operator="containsText" text="Neutral">
      <formula>NOT(ISERROR(SEARCH(("Neutral"),(A3))))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25.86"/>
    <col customWidth="1" min="4" max="4" width="28.71"/>
    <col customWidth="1" min="5" max="5" width="21.0"/>
    <col customWidth="1" min="6" max="6" width="25.29"/>
    <col customWidth="1" min="7" max="7" width="27.0"/>
    <col customWidth="1" min="8" max="8" width="30.57"/>
    <col customWidth="1" min="9" max="9" width="26.0"/>
    <col customWidth="1" min="10" max="10" width="27.86"/>
    <col customWidth="1" min="11" max="12" width="21.0"/>
    <col customWidth="1" min="13" max="13" width="25.43"/>
    <col customWidth="1" min="15" max="15" width="23.86"/>
    <col customWidth="1" min="16" max="16" width="25.29"/>
    <col customWidth="1" min="17" max="17" width="25.0"/>
    <col customWidth="1" min="18" max="18" width="30.71"/>
    <col customWidth="1" min="19" max="19" width="25.29"/>
    <col customWidth="1" min="20" max="20" width="28.43"/>
    <col customWidth="1" min="22" max="22" width="24.43"/>
    <col customWidth="1" min="23" max="23" width="18.86"/>
    <col customWidth="1" min="24" max="24" width="21.43"/>
    <col customWidth="1" min="25" max="25" width="26.57"/>
    <col customWidth="1" min="26" max="26" width="26.29"/>
    <col customWidth="1" min="27" max="27" width="30.86"/>
    <col customWidth="1" min="28" max="28" width="24.14"/>
    <col customWidth="1" min="29" max="29" width="28.43"/>
  </cols>
  <sheetData>
    <row r="1">
      <c r="A1" s="61" t="str">
        <f>Home!B1</f>
        <v>Moderate</v>
      </c>
      <c r="B1" s="105"/>
      <c r="C1" s="106" t="s">
        <v>0</v>
      </c>
      <c r="D1" s="106" t="s">
        <v>27</v>
      </c>
      <c r="E1" s="106" t="str">
        <f>IFERROR(__xludf.DUMMYFUNCTION(" IF(QUERY(Home!C3)=""Neutral"", ""Neutral Value (Active)"", ""Neutral Value"")"),"Neutral Value (Active)")</f>
        <v>Neutral Value (Active)</v>
      </c>
      <c r="F1" s="107" t="str">
        <f>IFERROR(__xludf.DUMMYFUNCTION(" IF(QUERY(Home!C3)=""Neutral"", ""Neutral Percentage (Active)"", ""Neutral Percentage"")"),"Neutral Percentage (Active)")</f>
        <v>Neutral Percentage (Active)</v>
      </c>
      <c r="G1" s="106" t="str">
        <f>IFERROR(__xludf.DUMMYFUNCTION(" IF(QUERY(Home!C3)=""Underweight"", ""Underweight Value (Active)"", ""Underweight Value"")"),"Underweight Value")</f>
        <v>Underweight Value</v>
      </c>
      <c r="H1" s="106" t="str">
        <f>IFERROR(__xludf.DUMMYFUNCTION(" IF(QUERY(Home!C3)=""Underweight"", ""Underweight Percentage (Active)"", ""Underweight Percentage"")"),"Underweight Percentage")</f>
        <v>Underweight Percentage</v>
      </c>
      <c r="I1" s="106" t="str">
        <f>IFERROR(__xludf.DUMMYFUNCTION(" IF(QUERY(Home!C3)=""Overweight"", ""Overweight Value (Active)"", ""Overweight Value"")"),"Overweight Value")</f>
        <v>Overweight Value</v>
      </c>
      <c r="J1" s="106" t="str">
        <f>IFERROR(__xludf.DUMMYFUNCTION(" IF(QUERY(Home!C3)=""Overweight"", ""Overweight Percentage (Active)"", ""Overweight Percentage"")"),"Overweight Percentage")</f>
        <v>Overweight Percentage</v>
      </c>
      <c r="M1" s="106" t="s">
        <v>1</v>
      </c>
      <c r="N1" s="106" t="s">
        <v>27</v>
      </c>
      <c r="O1" s="106" t="str">
        <f>IFERROR(__xludf.DUMMYFUNCTION(" IF(QUERY(Home!C5)=""Neutral"", ""Neutral Value (Active)"", ""Neutral Value"")"),"Neutral Value")</f>
        <v>Neutral Value</v>
      </c>
      <c r="P1" s="106" t="str">
        <f>IFERROR(__xludf.DUMMYFUNCTION(" IF(QUERY(Home!C5)=""Neutral"", ""Neutral Percentage (Active)"", ""Neutral Percentage"")"),"Neutral Percentage")</f>
        <v>Neutral Percentage</v>
      </c>
      <c r="Q1" s="106" t="str">
        <f>IFERROR(__xludf.DUMMYFUNCTION(" IF(QUERY(Home!C5)=""Underweight"", ""Underweight Value (Active)"", ""Underweight Value"")"),"Underweight Value (Active)")</f>
        <v>Underweight Value (Active)</v>
      </c>
      <c r="R1" s="106" t="str">
        <f>IFERROR(__xludf.DUMMYFUNCTION(" IF(QUERY(Home!C5)=""Underweight"", ""Underweight Percentage (Active)"", ""Underweight Percentage"")"),"Underweight Percentage (Active)")</f>
        <v>Underweight Percentage (Active)</v>
      </c>
      <c r="S1" s="106" t="str">
        <f>IFERROR(__xludf.DUMMYFUNCTION(" IF(QUERY(Home!C5)=""Overweight"", ""Overweight Value (Active)"", ""Overweight Value"")"),"Overweight Value")</f>
        <v>Overweight Value</v>
      </c>
      <c r="T1" s="106" t="str">
        <f>IFERROR(__xludf.DUMMYFUNCTION(" IF(QUERY(Home!C5)=""Overweight"", ""Overweight Percentage (Active)"", ""Overweight Percentage"")"),"Overweight Percentage")</f>
        <v>Overweight Percentage</v>
      </c>
      <c r="U1" s="105"/>
      <c r="V1" s="106" t="s">
        <v>25</v>
      </c>
      <c r="W1" s="106" t="s">
        <v>27</v>
      </c>
      <c r="X1" s="106" t="str">
        <f>IFERROR(__xludf.DUMMYFUNCTION(" IF(QUERY(Home!C3)=""Neutral"", ""Neutral Value (Active)"", ""Neutral Value"")"),"Neutral Value (Active)")</f>
        <v>Neutral Value (Active)</v>
      </c>
      <c r="Y1" s="107" t="str">
        <f>IFERROR(__xludf.DUMMYFUNCTION(" IF(QUERY(Home!C3)=""Neutral"", ""Neutral Percentage (Active)"", ""Neutral Percentage"")"),"Neutral Percentage (Active)")</f>
        <v>Neutral Percentage (Active)</v>
      </c>
      <c r="Z1" s="106" t="str">
        <f>IFERROR(__xludf.DUMMYFUNCTION(" IF(QUERY(Home!C3)=""Underweight"", ""Underweight Value (Active)"", ""Underweight Value"")"),"Underweight Value")</f>
        <v>Underweight Value</v>
      </c>
      <c r="AA1" s="106" t="str">
        <f>IFERROR(__xludf.DUMMYFUNCTION(" IF(QUERY(Home!C3)=""Underweight"", ""Underweight Percentage (Active)"", ""Underweight Percentage"")"),"Underweight Percentage")</f>
        <v>Underweight Percentage</v>
      </c>
      <c r="AB1" s="106" t="str">
        <f>IFERROR(__xludf.DUMMYFUNCTION(" IF(QUERY(Home!C3)=""Overweight"", ""Overweight Value (Active)"", ""Overweight Value"")"),"Overweight Value")</f>
        <v>Overweight Value</v>
      </c>
      <c r="AC1" s="106" t="str">
        <f>IFERROR(__xludf.DUMMYFUNCTION(" IF(QUERY(Home!C3)=""Overweight"", ""Overweight Percentage (Active)"", ""Overweight Percentage"")"),"Overweight Percentage")</f>
        <v>Overweight Percentage</v>
      </c>
      <c r="AD1" s="105"/>
      <c r="AE1" s="105"/>
      <c r="AF1" s="105"/>
      <c r="AG1" s="105"/>
      <c r="AH1" s="105"/>
      <c r="AI1" s="105"/>
    </row>
    <row r="2">
      <c r="A2" s="108" t="str">
        <f t="shared" ref="A2:A26" si="1">C2</f>
        <v>QLRIX</v>
      </c>
      <c r="B2" s="109">
        <f>'Source Data'!D2/Home!B2</f>
        <v>0.0664</v>
      </c>
      <c r="C2" s="110" t="s">
        <v>28</v>
      </c>
      <c r="D2" s="111">
        <f>IFERROR(__xludf.DUMMYFUNCTION("IF(QUERY(Home!C3)=""Underweight"", G2, IF(QUERY(Home!C3)=""Neutral"", E2, I2))"),66400.0)</f>
        <v>66400</v>
      </c>
      <c r="E2" s="112">
        <f>IFERROR(__xludf.DUMMYFUNCTION(" QUERY(Home!B9) * F2"),66400.0)</f>
        <v>66400</v>
      </c>
      <c r="F2" s="113">
        <v>0.166</v>
      </c>
      <c r="G2" s="112">
        <f>IFERROR(__xludf.DUMMYFUNCTION(" QUERY(Home!B9) * H2 * 0.25"),0.0)</f>
        <v>0</v>
      </c>
      <c r="H2" s="86">
        <v>0.0</v>
      </c>
      <c r="I2" s="114">
        <v>0.0</v>
      </c>
      <c r="J2" s="86">
        <v>0.0</v>
      </c>
      <c r="K2" s="55"/>
      <c r="M2" s="55" t="s">
        <v>29</v>
      </c>
      <c r="N2" s="111">
        <f>IFERROR(__xludf.DUMMYFUNCTION("IF(QUERY(Home!C5)=""Underweight"", Q2, IF(QUERY(Home!C5)=""Neutral"", O2, S2))"),10000.0)</f>
        <v>10000</v>
      </c>
      <c r="O2" s="39">
        <f>IFERROR(__xludf.DUMMYFUNCTION("QUERY(Home!B10) * P2"),20000.0)</f>
        <v>20000</v>
      </c>
      <c r="P2" s="115">
        <f>IF(Home!C3 = "Underweight", 10%, 5%)</f>
        <v>0.05</v>
      </c>
      <c r="Q2" s="39">
        <f>IFERROR(__xludf.DUMMYFUNCTION("QUERY(Home!B10) * R2"),10000.0)</f>
        <v>10000</v>
      </c>
      <c r="R2" s="115">
        <f>IF(Home!C3 = "Underweight", 5%, 2.5%)</f>
        <v>0.025</v>
      </c>
      <c r="S2" s="39">
        <f>IFERROR(__xludf.DUMMYFUNCTION("QUERY(Home!B10) * T2"),30000.0)</f>
        <v>30000</v>
      </c>
      <c r="T2" s="115">
        <f>IF(Home!C3 = "Underweight", 15%, 7.5%)</f>
        <v>0.075</v>
      </c>
      <c r="V2" s="55" t="s">
        <v>30</v>
      </c>
      <c r="W2" s="111">
        <f>IFERROR(__xludf.DUMMYFUNCTION("IF(QUERY(Home!C3)=""Underweight"", Z2, IF(QUERY(Home!C3)=""Neutral"", X2, AB2))"),10000.0)</f>
        <v>10000</v>
      </c>
      <c r="X2" s="112">
        <f>IFERROR(__xludf.DUMMYFUNCTION(" QUERY(Home!B11) * Y2"),10000.0)</f>
        <v>10000</v>
      </c>
      <c r="Y2" s="116">
        <v>0.05</v>
      </c>
      <c r="Z2" s="112">
        <f>IFERROR(__xludf.DUMMYFUNCTION(" QUERY(Home!B11) * AA2"),0.0)</f>
        <v>0</v>
      </c>
      <c r="AA2" s="116">
        <v>0.0</v>
      </c>
      <c r="AB2" s="112">
        <f>IFERROR(__xludf.DUMMYFUNCTION(" QUERY(Home!B11) * AC2"),20000.0)</f>
        <v>20000</v>
      </c>
      <c r="AC2" s="116">
        <v>0.1</v>
      </c>
    </row>
    <row r="3">
      <c r="A3" s="108" t="str">
        <f t="shared" si="1"/>
        <v>QSRIX</v>
      </c>
      <c r="B3" s="109">
        <f>'Source Data'!D3/Home!B2</f>
        <v>0.0888</v>
      </c>
      <c r="C3" s="110" t="s">
        <v>31</v>
      </c>
      <c r="D3" s="111">
        <f>IFERROR(__xludf.DUMMYFUNCTION("IF(QUERY(Home!C3)=""Underweight"", G3, IF(QUERY(Home!C3)=""Neutral"", E3, I3))"),88800.0)</f>
        <v>88800</v>
      </c>
      <c r="E3" s="39">
        <f>IFERROR(__xludf.DUMMYFUNCTION(" QUERY(Home!B9) * F3"),88800.0)</f>
        <v>88800</v>
      </c>
      <c r="F3" s="113">
        <v>0.222</v>
      </c>
      <c r="G3" s="39">
        <f>IFERROR(__xludf.DUMMYFUNCTION(" QUERY(Home!B9) * H3"),0.0)</f>
        <v>0</v>
      </c>
      <c r="H3" s="86">
        <v>0.0</v>
      </c>
      <c r="I3" s="114">
        <v>0.0</v>
      </c>
      <c r="J3" s="86">
        <v>0.0</v>
      </c>
      <c r="K3" s="55"/>
      <c r="M3" s="55" t="s">
        <v>32</v>
      </c>
      <c r="N3" s="111">
        <f>IFERROR(__xludf.DUMMYFUNCTION("IF(QUERY(Home!C5)=""Underweight"", Q3, IF(QUERY(Home!C5)=""Neutral"", O3, S3))"),10000.0)</f>
        <v>10000</v>
      </c>
      <c r="O3" s="39">
        <f>IFERROR(__xludf.DUMMYFUNCTION("QUERY(Home!B10) * P3"),20000.0)</f>
        <v>20000</v>
      </c>
      <c r="P3" s="115">
        <f>IF(Home!C3 = "Underweight", 0%, 5%)</f>
        <v>0.05</v>
      </c>
      <c r="Q3" s="39">
        <f>IFERROR(__xludf.DUMMYFUNCTION("QUERY(Home!B10) * R3"),10000.0)</f>
        <v>10000</v>
      </c>
      <c r="R3" s="115">
        <f>IF(Home!C3 = "Underweight", 0%, 2.5%)</f>
        <v>0.025</v>
      </c>
      <c r="S3" s="39">
        <f>IFERROR(__xludf.DUMMYFUNCTION("QUERY(Home!B10) * T3"),30000.0)</f>
        <v>30000</v>
      </c>
      <c r="T3" s="115">
        <f>IF(Home!C3 = "Underweight", 0%, 7.5%)</f>
        <v>0.075</v>
      </c>
      <c r="V3" s="55" t="s">
        <v>33</v>
      </c>
      <c r="W3" s="111">
        <f>IFERROR(__xludf.DUMMYFUNCTION("IF(QUERY(Home!C3)=""Underweight"", Z3, IF(QUERY(Home!C3)=""Neutral"", X3, AB3))"),10000.0)</f>
        <v>10000</v>
      </c>
      <c r="X3" s="39">
        <f>IFERROR(__xludf.DUMMYFUNCTION(" QUERY(Home!B11) * Y3"),10000.0)</f>
        <v>10000</v>
      </c>
      <c r="Y3" s="116">
        <v>0.05</v>
      </c>
      <c r="Z3" s="39">
        <f>IFERROR(__xludf.DUMMYFUNCTION(" QUERY(Home!B11) * AA3"),0.0)</f>
        <v>0</v>
      </c>
      <c r="AA3" s="116">
        <v>0.0</v>
      </c>
      <c r="AB3" s="112">
        <f>IFERROR(__xludf.DUMMYFUNCTION(" QUERY(Home!B11) * AC3"),20000.0)</f>
        <v>20000</v>
      </c>
      <c r="AC3" s="116">
        <v>0.1</v>
      </c>
    </row>
    <row r="4">
      <c r="A4" s="108" t="str">
        <f t="shared" si="1"/>
        <v>PRUFX</v>
      </c>
      <c r="B4" s="109">
        <f>'Source Data'!D4/Home!B2</f>
        <v>0.0888</v>
      </c>
      <c r="C4" s="110" t="s">
        <v>34</v>
      </c>
      <c r="D4" s="111">
        <f>IFERROR(__xludf.DUMMYFUNCTION("IF(QUERY(Home!C3)=""Underweight"", G4, IF(QUERY(Home!C3)=""Neutral"", E4, I4))"),88800.0)</f>
        <v>88800</v>
      </c>
      <c r="E4" s="39">
        <f>IFERROR(__xludf.DUMMYFUNCTION(" QUERY(Home!B9) * F4"),88800.0)</f>
        <v>88800</v>
      </c>
      <c r="F4" s="113">
        <v>0.222</v>
      </c>
      <c r="G4" s="39">
        <f>IFERROR(__xludf.DUMMYFUNCTION(" QUERY(Home!B9) * H4"),22199.999778)</f>
        <v>22199.99978</v>
      </c>
      <c r="H4" s="86">
        <f>IFERROR(__xludf.DUMMYFUNCTION("IF(QUERY(Home!C7)=""Overweight"", IF(QUERY(Home!C6)=""Overweight"", F4*0.5*0.75*0.33333333, F4*0.5*0.75*0.66666666), IF(QUERY(Home!C6)=""Overweight"", F4*0.5*0.75*0.66666666, F4*0.5*0.75))"),0.055499999445)</f>
        <v>0.05549999945</v>
      </c>
      <c r="I4" s="114">
        <v>0.0</v>
      </c>
      <c r="J4" s="86">
        <v>0.0</v>
      </c>
      <c r="K4" s="55"/>
      <c r="M4" s="55" t="s">
        <v>35</v>
      </c>
      <c r="N4" s="111">
        <f>IFERROR(__xludf.DUMMYFUNCTION("IF(QUERY(Home!C5)=""Underweight"", Q4, IF(QUERY(Home!C5)=""Neutral"", O4, S4))"),10000.0)</f>
        <v>10000</v>
      </c>
      <c r="O4" s="39">
        <f>IFERROR(__xludf.DUMMYFUNCTION("QUERY(Home!B10) * P4"),20000.0)</f>
        <v>20000</v>
      </c>
      <c r="P4" s="115">
        <f>IF(Home!C3 = "Underweight", 0%, 5%)</f>
        <v>0.05</v>
      </c>
      <c r="Q4" s="39">
        <f>IFERROR(__xludf.DUMMYFUNCTION("QUERY(Home!B10) * R4"),10000.0)</f>
        <v>10000</v>
      </c>
      <c r="R4" s="115">
        <f>IF(Home!C3 = "Underweight", 0%, 2.5%)</f>
        <v>0.025</v>
      </c>
      <c r="S4" s="39">
        <f>IFERROR(__xludf.DUMMYFUNCTION("QUERY(Home!B10) * T4"),30000.0)</f>
        <v>30000</v>
      </c>
      <c r="T4" s="115">
        <f>IF(Home!C3 = "Underweight", 0%, 7.5%)</f>
        <v>0.075</v>
      </c>
      <c r="V4" s="55" t="s">
        <v>36</v>
      </c>
      <c r="W4" s="111">
        <f>IFERROR(__xludf.DUMMYFUNCTION("IF(QUERY(Home!C3)=""Underweight"", Z4, IF(QUERY(Home!C3)=""Neutral"", X4, AB4))"),30000.0)</f>
        <v>30000</v>
      </c>
      <c r="X4" s="39">
        <f>IFERROR(__xludf.DUMMYFUNCTION(" QUERY(Home!B11) * Y4"),30000.0)</f>
        <v>30000</v>
      </c>
      <c r="Y4" s="116">
        <v>0.15</v>
      </c>
      <c r="Z4" s="39">
        <f>IFERROR(__xludf.DUMMYFUNCTION(" QUERY(Home!B11) * AA4"),0.0)</f>
        <v>0</v>
      </c>
      <c r="AA4" s="116">
        <v>0.0</v>
      </c>
      <c r="AB4" s="112">
        <f>IFERROR(__xludf.DUMMYFUNCTION(" QUERY(Home!B11) * AC4"),20000.0)</f>
        <v>20000</v>
      </c>
      <c r="AC4" s="86">
        <v>0.1</v>
      </c>
    </row>
    <row r="5">
      <c r="A5" s="108" t="str">
        <f t="shared" si="1"/>
        <v>DFLVX</v>
      </c>
      <c r="B5" s="109">
        <f>'Source Data'!D5/Home!B2</f>
        <v>0</v>
      </c>
      <c r="C5" s="110" t="s">
        <v>37</v>
      </c>
      <c r="D5" s="111">
        <f>IFERROR(__xludf.DUMMYFUNCTION("IF(QUERY(Home!C3)=""Underweight"", G5, IF(QUERY(Home!C3)=""Neutral"", E5, I5))"),0.0)</f>
        <v>0</v>
      </c>
      <c r="E5" s="112">
        <f>IFERROR(__xludf.DUMMYFUNCTION(" QUERY(Home!B9) * F5"),0.0)</f>
        <v>0</v>
      </c>
      <c r="F5" s="113">
        <v>0.0</v>
      </c>
      <c r="G5" s="112">
        <f>IFERROR(__xludf.DUMMYFUNCTION(" QUERY(Home!B9) * H5"),0.0)</f>
        <v>0</v>
      </c>
      <c r="H5" s="86">
        <f>IFERROR(__xludf.DUMMYFUNCTION("IF(QUERY(Home!C7)=""Overweight"", IF(QUERY(Home!C6)=""Overweight"", F5*0.5*0.75*0.33333333, F5*0.5*0.75*0.66666666), IF(QUERY(Home!C6)=""Overweight"", F5*0.5*0.75*0.66666666, F5*0.5*0.75))"),0.0)</f>
        <v>0</v>
      </c>
      <c r="I5" s="117">
        <f>E5 + (SUM(I17:I26) * (E5/SUM(E2:E7)))</f>
        <v>0</v>
      </c>
      <c r="J5" s="86">
        <f>I5/I28</f>
        <v>0</v>
      </c>
      <c r="K5" s="55"/>
      <c r="M5" s="55" t="s">
        <v>38</v>
      </c>
      <c r="N5" s="111">
        <f>IFERROR(__xludf.DUMMYFUNCTION("IF(QUERY(Home!C5)=""Underweight"", Q5, IF(QUERY(Home!C5)=""Neutral"", O5, S5))"),10000.0)</f>
        <v>10000</v>
      </c>
      <c r="O5" s="39">
        <f>IFERROR(__xludf.DUMMYFUNCTION("QUERY(Home!B10) * P5"),20000.0)</f>
        <v>20000</v>
      </c>
      <c r="P5" s="115">
        <f>IF(Home!C3 = "Underweight", 20%, 5%)</f>
        <v>0.05</v>
      </c>
      <c r="Q5" s="39">
        <f>IFERROR(__xludf.DUMMYFUNCTION("QUERY(Home!B10) * R5"),10000.0)</f>
        <v>10000</v>
      </c>
      <c r="R5" s="118">
        <f>IF(Home!C3 = "Underweight", 10%, 2.5%)</f>
        <v>0.025</v>
      </c>
      <c r="S5" s="39">
        <f>IFERROR(__xludf.DUMMYFUNCTION("QUERY(Home!B10) * T5"),30000.0)</f>
        <v>30000</v>
      </c>
      <c r="T5" s="115">
        <f>IF(Home!C3 = "Underweight", 30%, 7.5%)</f>
        <v>0.075</v>
      </c>
      <c r="V5" s="55" t="s">
        <v>39</v>
      </c>
      <c r="W5" s="111">
        <f>IFERROR(__xludf.DUMMYFUNCTION("IF(QUERY(Home!C3)=""Underweight"", Z5, IF(QUERY(Home!C3)=""Neutral"", X5, AB5))"),10000.0)</f>
        <v>10000</v>
      </c>
      <c r="X5" s="112">
        <f>IFERROR(__xludf.DUMMYFUNCTION(" QUERY(Home!B11) * Y5"),10000.0)</f>
        <v>10000</v>
      </c>
      <c r="Y5" s="116">
        <v>0.05</v>
      </c>
      <c r="Z5" s="112">
        <f>IFERROR(__xludf.DUMMYFUNCTION(" QUERY(Home!B11) * AA5"),0.0)</f>
        <v>0</v>
      </c>
      <c r="AA5" s="116">
        <v>0.0</v>
      </c>
      <c r="AB5" s="112">
        <f>IFERROR(__xludf.DUMMYFUNCTION(" QUERY(Home!B11) * AC5"),40000.0)</f>
        <v>40000</v>
      </c>
      <c r="AC5" s="86">
        <v>0.2</v>
      </c>
    </row>
    <row r="6">
      <c r="A6" s="108" t="str">
        <f t="shared" si="1"/>
        <v>QIRIX</v>
      </c>
      <c r="B6" s="109">
        <f>'Source Data'!D6/Home!B2</f>
        <v>0</v>
      </c>
      <c r="C6" s="110" t="s">
        <v>40</v>
      </c>
      <c r="D6" s="111">
        <f>IFERROR(__xludf.DUMMYFUNCTION("IF(QUERY(Home!C3)=""Underweight"", G6, IF(QUERY(Home!C3)=""Neutral"", E6, I6))"),0.0)</f>
        <v>0</v>
      </c>
      <c r="E6" s="112">
        <f>IFERROR(__xludf.DUMMYFUNCTION(" QUERY(Home!B9) * F6"),0.0)</f>
        <v>0</v>
      </c>
      <c r="F6" s="113">
        <v>0.0</v>
      </c>
      <c r="G6" s="39">
        <f>IFERROR(__xludf.DUMMYFUNCTION(" QUERY(Home!B9) * H6"),0.0)</f>
        <v>0</v>
      </c>
      <c r="H6" s="86">
        <v>0.0</v>
      </c>
      <c r="I6" s="114">
        <v>0.0</v>
      </c>
      <c r="J6" s="86">
        <v>0.0</v>
      </c>
      <c r="K6" s="55"/>
      <c r="M6" s="55" t="s">
        <v>41</v>
      </c>
      <c r="N6" s="111">
        <f>IFERROR(__xludf.DUMMYFUNCTION("IF(QUERY(Home!C5)=""Underweight"", Q6, IF(QUERY(Home!C5)=""Neutral"", O6, S6))"),20000.0)</f>
        <v>20000</v>
      </c>
      <c r="O6" s="39">
        <f>IFERROR(__xludf.DUMMYFUNCTION("QUERY(Home!B10) * P6"),40000.0)</f>
        <v>40000</v>
      </c>
      <c r="P6" s="115">
        <f>IF(Home!C3 = "Underweight", 0%, 10%)</f>
        <v>0.1</v>
      </c>
      <c r="Q6" s="39">
        <f>IFERROR(__xludf.DUMMYFUNCTION("QUERY(Home!B10) * R6"),20000.0)</f>
        <v>20000</v>
      </c>
      <c r="R6" s="115">
        <f>IF(Home!C3 = "Underweight", 0%, 5%)</f>
        <v>0.05</v>
      </c>
      <c r="S6" s="39">
        <f>IFERROR(__xludf.DUMMYFUNCTION("QUERY(Home!B10) * T6"),60000.0)</f>
        <v>60000</v>
      </c>
      <c r="T6" s="115">
        <f>IF(Home!C3 = "Underweight", 0%, 15%)</f>
        <v>0.15</v>
      </c>
      <c r="V6" s="55" t="s">
        <v>42</v>
      </c>
      <c r="W6" s="111">
        <f>IFERROR(__xludf.DUMMYFUNCTION("IF(QUERY(Home!C3)=""Underweight"", Z6, IF(QUERY(Home!C3)=""Neutral"", X6, AB6))"),10000.0)</f>
        <v>10000</v>
      </c>
      <c r="X6" s="112">
        <f>IFERROR(__xludf.DUMMYFUNCTION(" QUERY(Home!B11) * Y6"),10000.0)</f>
        <v>10000</v>
      </c>
      <c r="Y6" s="116">
        <v>0.05</v>
      </c>
      <c r="Z6" s="39">
        <f>IFERROR(__xludf.DUMMYFUNCTION(" QUERY(Home!B11) * AA6"),0.0)</f>
        <v>0</v>
      </c>
      <c r="AA6" s="116">
        <v>0.0</v>
      </c>
      <c r="AB6" s="112">
        <f>IFERROR(__xludf.DUMMYFUNCTION(" QUERY(Home!B11) * AC6"),20000.0)</f>
        <v>20000</v>
      </c>
      <c r="AC6" s="116">
        <v>0.1</v>
      </c>
    </row>
    <row r="7">
      <c r="A7" s="108" t="str">
        <f t="shared" si="1"/>
        <v>QERIX</v>
      </c>
      <c r="B7" s="109">
        <f>'Source Data'!D7/Home!B2</f>
        <v>0.0444</v>
      </c>
      <c r="C7" s="110" t="s">
        <v>43</v>
      </c>
      <c r="D7" s="111">
        <f>IFERROR(__xludf.DUMMYFUNCTION("IF(QUERY(Home!C3)=""Underweight"", G7, IF(QUERY(Home!C3)=""Neutral"", E7, I7))"),44400.0)</f>
        <v>44400</v>
      </c>
      <c r="E7" s="112">
        <f>IFERROR(__xludf.DUMMYFUNCTION(" QUERY(Home!B9) * F7"),44400.0)</f>
        <v>44400</v>
      </c>
      <c r="F7" s="113">
        <v>0.111</v>
      </c>
      <c r="G7" s="112">
        <f>IFERROR(__xludf.DUMMYFUNCTION(" QUERY(Home!B9) * H7"),0.0)</f>
        <v>0</v>
      </c>
      <c r="H7" s="86">
        <v>0.0</v>
      </c>
      <c r="I7" s="114">
        <v>0.0</v>
      </c>
      <c r="J7" s="86">
        <v>0.0</v>
      </c>
      <c r="K7" s="55"/>
      <c r="M7" s="55" t="s">
        <v>44</v>
      </c>
      <c r="N7" s="111">
        <f>IFERROR(__xludf.DUMMYFUNCTION("IF(QUERY(Home!C5)=""Underweight"", Q7, IF(QUERY(Home!C5)=""Neutral"", O7, S7))"),60000.0)</f>
        <v>60000</v>
      </c>
      <c r="O7" s="39">
        <f>IFERROR(__xludf.DUMMYFUNCTION("QUERY(Home!B10) * P7"),40000.0)</f>
        <v>40000</v>
      </c>
      <c r="P7" s="115">
        <f>IF(Home!C3 = "Underweight", 20%, 10%)</f>
        <v>0.1</v>
      </c>
      <c r="Q7" s="39">
        <f>IFERROR(__xludf.DUMMYFUNCTION("QUERY(Home!B10) * R7"),60000.0)</f>
        <v>60000</v>
      </c>
      <c r="R7" s="115">
        <f>IF(Home!C3 = "Underweight", 30%, 15%)</f>
        <v>0.15</v>
      </c>
      <c r="S7" s="39">
        <f>IFERROR(__xludf.DUMMYFUNCTION("QUERY(Home!B10) * T7"),20000.0)</f>
        <v>20000</v>
      </c>
      <c r="T7" s="115">
        <f>IF(Home!C3 = "Underweight", 10%, 5%)</f>
        <v>0.05</v>
      </c>
      <c r="V7" s="55" t="s">
        <v>45</v>
      </c>
      <c r="W7" s="111">
        <f>IFERROR(__xludf.DUMMYFUNCTION("IF(QUERY(Home!C3)=""Underweight"", Z7, IF(QUERY(Home!C3)=""Neutral"", X7, AB7))"),10000.0)</f>
        <v>10000</v>
      </c>
      <c r="X7" s="112">
        <f>IFERROR(__xludf.DUMMYFUNCTION(" QUERY(Home!B11) * Y7"),10000.0)</f>
        <v>10000</v>
      </c>
      <c r="Y7" s="116">
        <v>0.05</v>
      </c>
      <c r="Z7" s="39">
        <f>IFERROR(__xludf.DUMMYFUNCTION(" QUERY(Home!B11) * AA7"),7500.000000000001)</f>
        <v>7500</v>
      </c>
      <c r="AA7" s="116">
        <f>IFERROR(__xludf.DUMMYFUNCTION("IF(NOT(QUERY(Home!C7)=""Underweight""), IF(QUERY(Home!C6)=""Overweight"", 0.05 * 0.5, 0.05 * 0.75), IF(QUERY(Home!C6)=""Overweight"", 0.05 * 0.75, 0.05))"),0.037500000000000006)</f>
        <v>0.0375</v>
      </c>
      <c r="AB7" s="112">
        <f>IFERROR(__xludf.DUMMYFUNCTION(" QUERY(Home!B11) * AC7"),30000.0)</f>
        <v>30000</v>
      </c>
      <c r="AC7" s="86">
        <v>0.15</v>
      </c>
    </row>
    <row r="8">
      <c r="A8" s="108" t="str">
        <f t="shared" si="1"/>
        <v>AUEIX</v>
      </c>
      <c r="B8" s="87">
        <f>'Source Data'!D8/Home!B2</f>
        <v>0</v>
      </c>
      <c r="C8" s="55" t="s">
        <v>46</v>
      </c>
      <c r="D8" s="111">
        <f>IFERROR(__xludf.DUMMYFUNCTION("IF(QUERY(Home!C3)=""Underweight"", G8, IF(QUERY(Home!C3)=""Neutral"", E8, I8))"),0.0)</f>
        <v>0</v>
      </c>
      <c r="E8" s="112">
        <f>IFERROR(__xludf.DUMMYFUNCTION(" QUERY(Home!B9) * F8"),0.0)</f>
        <v>0</v>
      </c>
      <c r="F8" s="86">
        <v>0.0</v>
      </c>
      <c r="G8" s="112">
        <f>IFERROR(__xludf.DUMMYFUNCTION(" QUERY(Home!B9) * H8"),16599.999834)</f>
        <v>16599.99983</v>
      </c>
      <c r="H8" s="86">
        <f>IFERROR(__xludf.DUMMYFUNCTION("IF(QUERY(Home!C7)=""Overweight"", IF(QUERY(Home!C6)=""Overweight"", F2*0.5*0.75*0.33333333, F2*0.5*0.75*0.66666666), IF(QUERY(Home!C6)=""Overweight"", F2*0.5*0.75*0.66666666, F2*0.5*0.75))"),0.041499999584999996)</f>
        <v>0.04149999959</v>
      </c>
      <c r="I8" s="111">
        <v>0.0</v>
      </c>
      <c r="J8" s="86">
        <v>0.0</v>
      </c>
      <c r="K8" s="4"/>
      <c r="M8" s="55" t="s">
        <v>47</v>
      </c>
      <c r="N8" s="111">
        <f>IFERROR(__xludf.DUMMYFUNCTION("IF(QUERY(Home!C5)=""Underweight"", Q8, IF(QUERY(Home!C5)=""Neutral"", O8, S8))"),40000.0)</f>
        <v>40000</v>
      </c>
      <c r="O8" s="39">
        <f>IFERROR(__xludf.DUMMYFUNCTION("QUERY(Home!B10) * P8"),60000.0)</f>
        <v>60000</v>
      </c>
      <c r="P8" s="115">
        <f>IF(Home!C3 = "Underweight", 25%, 15%)</f>
        <v>0.15</v>
      </c>
      <c r="Q8" s="39">
        <f>IFERROR(__xludf.DUMMYFUNCTION("QUERY(Home!B10) * R8"),40000.0)</f>
        <v>40000</v>
      </c>
      <c r="R8" s="115">
        <f>IF(Home!C3 = "Underweight", 15%, 10%)</f>
        <v>0.1</v>
      </c>
      <c r="S8" s="39">
        <f>IFERROR(__xludf.DUMMYFUNCTION("QUERY(Home!B10) * T8"),80000.0)</f>
        <v>80000</v>
      </c>
      <c r="T8" s="115">
        <f>IF(Home!C3 = "Underweight", 35%, 20%)</f>
        <v>0.2</v>
      </c>
      <c r="V8" s="55" t="s">
        <v>48</v>
      </c>
      <c r="W8" s="111">
        <f>IFERROR(__xludf.DUMMYFUNCTION("IF(QUERY(Home!C3)=""Underweight"", Z8, IF(QUERY(Home!C3)=""Neutral"", X8, AB8))"),60000.0)</f>
        <v>60000</v>
      </c>
      <c r="X8" s="112">
        <f>IFERROR(__xludf.DUMMYFUNCTION(" QUERY(Home!B11) * Y8"),60000.0)</f>
        <v>60000</v>
      </c>
      <c r="Y8" s="86">
        <v>0.3</v>
      </c>
      <c r="Z8" s="39">
        <f>IFERROR(__xludf.DUMMYFUNCTION(" QUERY(Home!B11) * AA8"),7500.000000000001)</f>
        <v>7500</v>
      </c>
      <c r="AA8" s="86">
        <f>IFERROR(__xludf.DUMMYFUNCTION("IF(NOT(QUERY(Home!C7)=""Underweight""), IF(QUERY(Home!C6)=""Overweight"", 0.05 * 0.5, 0.05 * 0.75), IF(QUERY(Home!C6)=""Overweight"", 0.05 * 0.75, 0.05))"),0.037500000000000006)</f>
        <v>0.0375</v>
      </c>
      <c r="AB8" s="112">
        <f>IFERROR(__xludf.DUMMYFUNCTION(" QUERY(Home!B11) * AC8"),20000.0)</f>
        <v>20000</v>
      </c>
      <c r="AC8" s="86">
        <v>0.1</v>
      </c>
    </row>
    <row r="9">
      <c r="A9" s="108" t="str">
        <f t="shared" si="1"/>
        <v>ANDIX</v>
      </c>
      <c r="B9" s="87">
        <f>'Source Data'!D9/Home!B2</f>
        <v>0</v>
      </c>
      <c r="C9" s="127" t="s">
        <v>56</v>
      </c>
      <c r="D9" s="39">
        <f>IFERROR(__xludf.DUMMYFUNCTION("IF(QUERY(Home!C3)=""Underweight"", G9, IF(QUERY(Home!C3)=""Neutral"", E9, I9))"),0.0)</f>
        <v>0</v>
      </c>
      <c r="E9" s="112">
        <f>IFERROR(__xludf.DUMMYFUNCTION(" QUERY(Home!B9) * F9"),0.0)</f>
        <v>0</v>
      </c>
      <c r="F9" s="86">
        <v>0.0</v>
      </c>
      <c r="G9" s="112">
        <f>IFERROR(__xludf.DUMMYFUNCTION(" QUERY(Home!B9) * H9"),0.0)</f>
        <v>0</v>
      </c>
      <c r="H9" s="86">
        <f>IFERROR(__xludf.DUMMYFUNCTION("IF(QUERY(Home!C7)=""Overweight"", IF(QUERY(Home!C6)=""Overweight"", F6*0.5*0.75*0.3333, F6*0.5*0.75*0.66666666), IF(QUERY(Home!C6)=""Overweight"", F6*0.5*0.75*0.66666666, F6*0.5*0.75))"),0.0)</f>
        <v>0</v>
      </c>
      <c r="I9" s="111">
        <v>0.0</v>
      </c>
      <c r="J9" s="86">
        <v>0.0</v>
      </c>
      <c r="K9" s="4"/>
      <c r="M9" s="55" t="s">
        <v>65</v>
      </c>
      <c r="N9" s="111">
        <f>IFERROR(__xludf.DUMMYFUNCTION("IF(QUERY(Home!C5)=""Underweight"", Q9, IF(QUERY(Home!C5)=""Neutral"", O9, S9))"),60000.0)</f>
        <v>60000</v>
      </c>
      <c r="O9" s="39">
        <f>IFERROR(__xludf.DUMMYFUNCTION("QUERY(Home!B10) * P9"),40000.0)</f>
        <v>40000</v>
      </c>
      <c r="P9" s="115">
        <f>IF(Home!C3 = "Underweight", 0%, 10%)</f>
        <v>0.1</v>
      </c>
      <c r="Q9" s="39">
        <f>IFERROR(__xludf.DUMMYFUNCTION("QUERY(Home!B10) * R9"),60000.0)</f>
        <v>60000</v>
      </c>
      <c r="R9" s="115">
        <f>IF(Home!C3 = "Underweight", 0%, 15%)</f>
        <v>0.15</v>
      </c>
      <c r="S9" s="39">
        <f>IFERROR(__xludf.DUMMYFUNCTION("QUERY(Home!B10) * T9"),20000.0)</f>
        <v>20000</v>
      </c>
      <c r="T9" s="115">
        <f>IF(Home!C3 = "Underweight", 0%, 5%)</f>
        <v>0.05</v>
      </c>
      <c r="V9" s="55" t="s">
        <v>58</v>
      </c>
      <c r="W9" s="111">
        <f>IFERROR(__xludf.DUMMYFUNCTION("IF(QUERY(Home!C3)=""Underweight"", Z9, IF(QUERY(Home!C3)=""Neutral"", X9, AB9))"),40000.0)</f>
        <v>40000</v>
      </c>
      <c r="X9" s="112">
        <f>IFERROR(__xludf.DUMMYFUNCTION(" QUERY(Home!B11) * Y9"),40000.0)</f>
        <v>40000</v>
      </c>
      <c r="Y9" s="86">
        <v>0.2</v>
      </c>
      <c r="Z9" s="39">
        <f>IFERROR(__xludf.DUMMYFUNCTION(" QUERY(Home!B11) * AA9"),7500.000000000001)</f>
        <v>7500</v>
      </c>
      <c r="AA9" s="86">
        <f>IFERROR(__xludf.DUMMYFUNCTION("IF(NOT(QUERY(Home!C7)=""Underweight""), IF(QUERY(Home!C6)=""Overweight"", 0.05 * 0.5, 0.05 * 0.75), IF(QUERY(Home!C6)=""Overweight"", 0.05 * 0.75, 0.05))"),0.037500000000000006)</f>
        <v>0.0375</v>
      </c>
      <c r="AB9" s="112">
        <f>IFERROR(__xludf.DUMMYFUNCTION(" QUERY(Home!B11) * AC9"),10000.0)</f>
        <v>10000</v>
      </c>
      <c r="AC9" s="86">
        <v>0.05</v>
      </c>
    </row>
    <row r="10">
      <c r="A10" s="108" t="str">
        <f t="shared" si="1"/>
        <v>DFCEX</v>
      </c>
      <c r="B10" s="87">
        <f>'Source Data'!D10/Home!B2</f>
        <v>0</v>
      </c>
      <c r="C10" s="55" t="s">
        <v>67</v>
      </c>
      <c r="D10" s="111">
        <f>IFERROR(__xludf.DUMMYFUNCTION("IF(QUERY(Home!C3)=""Underweight"", G10, IF(QUERY(Home!C3)=""Neutral"", E10, I10))"),0.0)</f>
        <v>0</v>
      </c>
      <c r="E10" s="112">
        <f>IFERROR(__xludf.DUMMYFUNCTION(" QUERY(Home!B9) * F10"),0.0)</f>
        <v>0</v>
      </c>
      <c r="F10" s="86">
        <v>0.0</v>
      </c>
      <c r="G10" s="112">
        <f>IFERROR(__xludf.DUMMYFUNCTION(" QUERY(Home!B9) * H10"),11099.999889)</f>
        <v>11099.99989</v>
      </c>
      <c r="H10" s="86">
        <f>IFERROR(__xludf.DUMMYFUNCTION("IF(QUERY(Home!C7)=""Overweight"", IF(QUERY(Home!C6)=""Overweight"", F7*0.5*0.75*0.33333333, F7*0.5*0.75*0.66666666), IF(QUERY(Home!C6)=""Overweight"", F7*0.5*0.75*0.66666666, F7*0.5*0.75))"),0.0277499997225)</f>
        <v>0.02774999972</v>
      </c>
      <c r="I10" s="111">
        <v>0.0</v>
      </c>
      <c r="J10" s="86">
        <v>0.0</v>
      </c>
      <c r="K10" s="4"/>
      <c r="M10" s="55" t="s">
        <v>68</v>
      </c>
      <c r="N10" s="111">
        <f>IFERROR(__xludf.DUMMYFUNCTION("IF(QUERY(Home!C5)=""Underweight"", Q10, IF(QUERY(Home!C5)=""Neutral"", O10, S10))"),60000.0)</f>
        <v>60000</v>
      </c>
      <c r="O10" s="39">
        <f>IFERROR(__xludf.DUMMYFUNCTION("QUERY(Home!B10) * P10"),40000.0)</f>
        <v>40000</v>
      </c>
      <c r="P10" s="115">
        <f>IF(Home!C3 = "Underweight", 20%, 10%)</f>
        <v>0.1</v>
      </c>
      <c r="Q10" s="39">
        <f>IFERROR(__xludf.DUMMYFUNCTION("QUERY(Home!B10) * R10"),60000.0)</f>
        <v>60000</v>
      </c>
      <c r="R10" s="115">
        <f>IF(Home!C3 = "Underweight", 30%, 15%)</f>
        <v>0.15</v>
      </c>
      <c r="S10" s="39">
        <f>IFERROR(__xludf.DUMMYFUNCTION("QUERY(Home!B10) * T10"),20000.0)</f>
        <v>20000</v>
      </c>
      <c r="T10" s="115">
        <f>IF(Home!C3 = "Underweight", 10%, 5%)</f>
        <v>0.05</v>
      </c>
      <c r="V10" s="55" t="s">
        <v>57</v>
      </c>
      <c r="W10" s="111">
        <f>IFERROR(__xludf.DUMMYFUNCTION("IF(QUERY(Home!C3)=""Underweight"", Z10, IF(QUERY(Home!C3)=""Neutral"", X10, AB10))"),10000.0)</f>
        <v>10000</v>
      </c>
      <c r="X10" s="112">
        <f>IFERROR(__xludf.DUMMYFUNCTION(" QUERY(Home!B11) * Y10"),10000.0)</f>
        <v>10000</v>
      </c>
      <c r="Y10" s="86">
        <v>0.05</v>
      </c>
      <c r="Z10" s="39">
        <f>IFERROR(__xludf.DUMMYFUNCTION(" QUERY(Home!B11) * AA10"),30000.000000000004)</f>
        <v>30000</v>
      </c>
      <c r="AA10" s="86">
        <f>IFERROR(__xludf.DUMMYFUNCTION("IF(NOT(QUERY(Home!C7)=""Underweight""), IF(QUERY(Home!C6)=""Overweight"", 0.2 * 0.5, 0.2 * 0.75), IF(QUERY(Home!C6)=""Overweight"", 0.2 * 0.75, 0.2))"),0.15000000000000002)</f>
        <v>0.15</v>
      </c>
      <c r="AB10" s="112">
        <f>IFERROR(__xludf.DUMMYFUNCTION(" QUERY(Home!B11) * AC10"),10000.0)</f>
        <v>10000</v>
      </c>
      <c r="AC10" s="86">
        <v>0.05</v>
      </c>
    </row>
    <row r="11">
      <c r="A11" s="108" t="str">
        <f t="shared" si="1"/>
        <v>DFSTX</v>
      </c>
      <c r="B11" s="87">
        <f>'Source Data'!D11/Home!B2</f>
        <v>0</v>
      </c>
      <c r="C11" s="55" t="s">
        <v>69</v>
      </c>
      <c r="D11" s="111">
        <f>IFERROR(__xludf.DUMMYFUNCTION("IF(QUERY(Home!C3)=""Underweight"", G11, IF(QUERY(Home!C3)=""Neutral"", E11, I11))"),0.0)</f>
        <v>0</v>
      </c>
      <c r="E11" s="112">
        <f>IFERROR(__xludf.DUMMYFUNCTION(" QUERY(Home!B3) * F11"),0.0)</f>
        <v>0</v>
      </c>
      <c r="F11" s="86">
        <v>0.0</v>
      </c>
      <c r="G11" s="112">
        <f>IFERROR(__xludf.DUMMYFUNCTION(" QUERY(Home!B9) * H11"),22199.999778)</f>
        <v>22199.99978</v>
      </c>
      <c r="H11" s="86">
        <f>IFERROR(__xludf.DUMMYFUNCTION("IF(QUERY(Home!C7)=""Overweight"", IF(QUERY(Home!C6)=""Overweight"", F3*0.5*0.75*0.33333333, F3*0.5*0.75*0.66666666), IF(QUERY(Home!C6)=""Overweight"", F3*0.5*0.75*0.66666666, F3*0.5*0.75))"),0.055499999445)</f>
        <v>0.05549999945</v>
      </c>
      <c r="I11" s="130">
        <v>0.0</v>
      </c>
      <c r="J11" s="131">
        <v>0.0</v>
      </c>
      <c r="K11" s="4"/>
      <c r="M11" s="55" t="s">
        <v>70</v>
      </c>
      <c r="N11" s="111">
        <f>IFERROR(__xludf.DUMMYFUNCTION("IF(QUERY(Home!C5)=""Underweight"", Q11, IF(QUERY(Home!C5)=""Neutral"", O11, S11))"),60000.0)</f>
        <v>60000</v>
      </c>
      <c r="O11" s="39">
        <f>IFERROR(__xludf.DUMMYFUNCTION("QUERY(Home!B10) * P11"),40000.0)</f>
        <v>40000</v>
      </c>
      <c r="P11" s="115">
        <f>IF(Home!C3 = "Underweight", 0%, 10%)</f>
        <v>0.1</v>
      </c>
      <c r="Q11" s="39">
        <f>IFERROR(__xludf.DUMMYFUNCTION("QUERY(Home!B10) * R11"),60000.0)</f>
        <v>60000</v>
      </c>
      <c r="R11" s="115">
        <f>IF(Home!C3 = "Underweight", 0%, 15%)</f>
        <v>0.15</v>
      </c>
      <c r="S11" s="39">
        <f>IFERROR(__xludf.DUMMYFUNCTION("QUERY(Home!B10) * T11"),20000.0)</f>
        <v>20000</v>
      </c>
      <c r="T11" s="115">
        <f>IF(Home!C3 = "Underweight", 0%, 5%)</f>
        <v>0.05</v>
      </c>
      <c r="V11" s="55" t="s">
        <v>60</v>
      </c>
      <c r="W11" s="111">
        <f>IFERROR(__xludf.DUMMYFUNCTION("IF(QUERY(Home!C3)=""Underweight"", Z11, IF(QUERY(Home!C3)=""Neutral"", X11, AB11))"),10000.0)</f>
        <v>10000</v>
      </c>
      <c r="X11" s="112">
        <f>IFERROR(__xludf.DUMMYFUNCTION(" QUERY(Home!B11) * Y11"),10000.0)</f>
        <v>10000</v>
      </c>
      <c r="Y11" s="86">
        <v>0.05</v>
      </c>
      <c r="Z11" s="39">
        <f>IFERROR(__xludf.DUMMYFUNCTION(" QUERY(Home!B11) * AA11"),60000.00000000001)</f>
        <v>60000</v>
      </c>
      <c r="AA11" s="86">
        <f>IFERROR(__xludf.DUMMYFUNCTION("IF(NOT(QUERY(Home!C7)=""Underweight""), IF(QUERY(Home!C6)=""Overweight"", 0.4 * 0.5, 0.4 * 0.75), IF(QUERY(Home!C6)=""Overweight"", 0.4 * 0.75, 0.4))"),0.30000000000000004)</f>
        <v>0.3</v>
      </c>
      <c r="AB11" s="112">
        <f>IFERROR(__xludf.DUMMYFUNCTION(" QUERY(Home!B11) * AC11"),10000.0)</f>
        <v>10000</v>
      </c>
      <c r="AC11" s="86">
        <v>0.05</v>
      </c>
    </row>
    <row r="12">
      <c r="A12" s="108" t="str">
        <f t="shared" si="1"/>
        <v>AMOMX</v>
      </c>
      <c r="B12" s="87">
        <f>'Source Data'!D12/Home!B2</f>
        <v>0</v>
      </c>
      <c r="C12" s="55" t="s">
        <v>71</v>
      </c>
      <c r="D12" s="111">
        <f>IFERROR(__xludf.DUMMYFUNCTION("IF(QUERY(Home!C3)=""Underweight"", G12, IF(QUERY(Home!C3)=""Neutral"", E12, I12))"),0.0)</f>
        <v>0</v>
      </c>
      <c r="E12" s="112">
        <f>IFERROR(__xludf.DUMMYFUNCTION(" QUERY(Home!B9) * F12"),0.0)</f>
        <v>0</v>
      </c>
      <c r="F12" s="86">
        <v>0.0</v>
      </c>
      <c r="G12" s="112">
        <f>IFERROR(__xludf.DUMMYFUNCTION(" QUERY(Home!B9) * H12"),0.0)</f>
        <v>0</v>
      </c>
      <c r="H12" s="86">
        <v>0.0</v>
      </c>
      <c r="I12" s="39">
        <f>E2 + (SUM(I17:I26) * (E2/SUM(E2:E7)))</f>
        <v>79247.15673</v>
      </c>
      <c r="J12" s="87">
        <f>I12/I28</f>
        <v>0.1981178918</v>
      </c>
      <c r="K12" s="4"/>
      <c r="M12" s="132" t="s">
        <v>72</v>
      </c>
      <c r="N12" s="111">
        <f>IFERROR(__xludf.DUMMYFUNCTION("IF(QUERY(Home!C5)=""Underweight"", Q12, IF(QUERY(Home!C5)=""Neutral"", O12, S12))"),20000.0)</f>
        <v>20000</v>
      </c>
      <c r="O12" s="39">
        <f>IFERROR(__xludf.DUMMYFUNCTION("QUERY(Home!B10) * P12"),40000.0)</f>
        <v>40000</v>
      </c>
      <c r="P12" s="115">
        <f>IF(Home!C3 = "Underweight", 0%, 10%)</f>
        <v>0.1</v>
      </c>
      <c r="Q12" s="39">
        <f>IFERROR(__xludf.DUMMYFUNCTION("QUERY(Home!B10) * R12"),20000.0)</f>
        <v>20000</v>
      </c>
      <c r="R12" s="118">
        <f>IF(Home!C3 = "Underweight", 0%, 5%)</f>
        <v>0.05</v>
      </c>
      <c r="S12" s="39">
        <f>IFERROR(__xludf.DUMMYFUNCTION("QUERY(Home!B10) * T12"),60000.0)</f>
        <v>60000</v>
      </c>
      <c r="T12" s="115">
        <f>IF(Home!C3 = "Underweight", 0%, 15%)</f>
        <v>0.15</v>
      </c>
      <c r="V12" s="133" t="s">
        <v>73</v>
      </c>
      <c r="W12" s="111">
        <f>IFERROR(__xludf.DUMMYFUNCTION("IF(QUERY(Home!C3)=""Underweight"", Z12, IF(QUERY(Home!C3)=""Neutral"", X12, AB12))"),0.0)</f>
        <v>0</v>
      </c>
      <c r="X12" s="112">
        <f>IFERROR(__xludf.DUMMYFUNCTION(" QUERY(Home!B11) * Y12"),0.0)</f>
        <v>0</v>
      </c>
      <c r="Y12" s="134">
        <v>0.0</v>
      </c>
      <c r="Z12" s="39">
        <f>IFERROR(__xludf.DUMMYFUNCTION(" QUERY(Home!B11) * AA12"),37500.0)</f>
        <v>37500</v>
      </c>
      <c r="AA12" s="134">
        <f>IFERROR(__xludf.DUMMYFUNCTION("IF(NOT(QUERY(Home!C7)=""Underweight""), IF(QUERY(Home!C6)=""Overweight"", 0.25 * 0.5, 0.25 * 0.75), IF(QUERY(Home!C6)=""Overweight"", 0.25 * 0.75, 0.25))"),0.1875)</f>
        <v>0.1875</v>
      </c>
      <c r="AB12" s="112">
        <f>IFERROR(__xludf.DUMMYFUNCTION(" QUERY(Home!B11) * AC12"),0.0)</f>
        <v>0</v>
      </c>
      <c r="AC12" s="134">
        <v>0.0</v>
      </c>
    </row>
    <row r="13">
      <c r="A13" s="108" t="str">
        <f t="shared" si="1"/>
        <v>ASMOX</v>
      </c>
      <c r="B13" s="87">
        <f>'Source Data'!D13/Home!B2</f>
        <v>0</v>
      </c>
      <c r="C13" s="55" t="s">
        <v>74</v>
      </c>
      <c r="D13" s="39">
        <f>IFERROR(__xludf.DUMMYFUNCTION("IF(QUERY(Home!C3)=""Underweight"", G13, IF(QUERY(Home!C3)=""Neutral"", E13, I13))"),0.0)</f>
        <v>0</v>
      </c>
      <c r="E13" s="112">
        <f>IFERROR(__xludf.DUMMYFUNCTION(" QUERY(Home!B9) * F13"),0.0)</f>
        <v>0</v>
      </c>
      <c r="F13" s="86">
        <v>0.0</v>
      </c>
      <c r="G13" s="112">
        <f>IFERROR(__xludf.DUMMYFUNCTION(" QUERY(Home!B9) * H13"),0.0)</f>
        <v>0</v>
      </c>
      <c r="H13" s="86">
        <v>0.0</v>
      </c>
      <c r="I13" s="39">
        <f>E3 + (SUM(I17:I26) * (E3/SUM(E2:E7)))</f>
        <v>105981.1373</v>
      </c>
      <c r="J13" s="86">
        <f>I13/I28</f>
        <v>0.2649528433</v>
      </c>
      <c r="K13" s="4"/>
      <c r="M13" s="55" t="s">
        <v>75</v>
      </c>
      <c r="N13" s="111">
        <f>IFERROR(__xludf.DUMMYFUNCTION("IF(QUERY(Home!C5)=""Underweight"", Q13, IF(QUERY(Home!C5)=""Neutral"", O13, S13))"),40000.0)</f>
        <v>40000</v>
      </c>
      <c r="O13" s="39">
        <f>IFERROR(__xludf.DUMMYFUNCTION("QUERY(Home!B10) * P13"),20000.0)</f>
        <v>20000</v>
      </c>
      <c r="P13" s="115">
        <v>0.05</v>
      </c>
      <c r="Q13" s="39">
        <f>IFERROR(__xludf.DUMMYFUNCTION("QUERY(Home!B10) * R13"),40000.0)</f>
        <v>40000</v>
      </c>
      <c r="R13" s="115">
        <v>0.1</v>
      </c>
      <c r="S13" s="39">
        <f>IFERROR(__xludf.DUMMYFUNCTION("QUERY(Home!B10) * T13"),0.0)</f>
        <v>0</v>
      </c>
      <c r="T13" s="115">
        <v>0.0</v>
      </c>
      <c r="V13" s="55" t="s">
        <v>76</v>
      </c>
      <c r="W13" s="111">
        <f>IFERROR(__xludf.DUMMYFUNCTION("IF(QUERY(Home!C3)=""Underweight"", Z13, IF(QUERY(Home!C3)=""Neutral"", X13, AB13))"),0.0)</f>
        <v>0</v>
      </c>
      <c r="X13" s="112">
        <f>IFERROR(__xludf.DUMMYFUNCTION(" QUERY(Home!B11) * Y13"),0.0)</f>
        <v>0</v>
      </c>
      <c r="Y13" s="134">
        <v>0.0</v>
      </c>
      <c r="Z13" s="39">
        <f>IFERROR(__xludf.DUMMYFUNCTION(" QUERY(Home!B11) * AA13"),50000.0)</f>
        <v>50000</v>
      </c>
      <c r="AA13" s="134">
        <f>IFERROR(__xludf.DUMMYFUNCTION("IF(NOT(QUERY(Home!C7)=""Underweight""), 0.25, 0)"),0.25)</f>
        <v>0.25</v>
      </c>
      <c r="AB13" s="112">
        <f>IFERROR(__xludf.DUMMYFUNCTION(" QUERY(Home!B11) * AC13"),0.0)</f>
        <v>0</v>
      </c>
      <c r="AC13" s="134">
        <v>0.0</v>
      </c>
    </row>
    <row r="14">
      <c r="A14" s="108" t="str">
        <f t="shared" si="1"/>
        <v>FATIX</v>
      </c>
      <c r="B14" s="87">
        <f>'Source Data'!D14/Home!B2</f>
        <v>0</v>
      </c>
      <c r="C14" s="55" t="s">
        <v>77</v>
      </c>
      <c r="D14" s="111">
        <f>IFERROR(__xludf.DUMMYFUNCTION("IF(QUERY(Home!C3)=""Underweight"", G14, IF(QUERY(Home!C3)=""Neutral"", E14, I14))"),0.0)</f>
        <v>0</v>
      </c>
      <c r="E14" s="112">
        <f>IFERROR(__xludf.DUMMYFUNCTION(" QUERY(Home!B9) * F14"),0.0)</f>
        <v>0</v>
      </c>
      <c r="F14" s="86">
        <v>0.0</v>
      </c>
      <c r="G14" s="112">
        <f>IFERROR(__xludf.DUMMYFUNCTION(" QUERY(Home!B9) * H14"),0.0)</f>
        <v>0</v>
      </c>
      <c r="H14" s="86">
        <v>0.0</v>
      </c>
      <c r="I14" s="39">
        <f>E4 + (SUM(I17:I26) * (E4/SUM(E2:E7)))</f>
        <v>105981.1373</v>
      </c>
      <c r="J14" s="86">
        <f>I14/I28</f>
        <v>0.2649528433</v>
      </c>
      <c r="K14" s="4"/>
      <c r="M14" s="55"/>
      <c r="N14" s="55"/>
      <c r="O14" s="39"/>
      <c r="P14" s="115"/>
      <c r="Q14" s="39"/>
      <c r="R14" s="115"/>
      <c r="S14" s="39"/>
      <c r="T14" s="115"/>
      <c r="V14" s="55" t="s">
        <v>78</v>
      </c>
      <c r="W14" s="111">
        <f>IFERROR(__xludf.DUMMYFUNCTION("IF(QUERY(Home!C3)=""Underweight"", Z14, IF(QUERY(Home!C3)=""Neutral"", X14, AB14))"),0.0)</f>
        <v>0</v>
      </c>
      <c r="X14" s="112">
        <f>IFERROR(__xludf.DUMMYFUNCTION(" QUERY(Home!B11) * Y14"),0.0)</f>
        <v>0</v>
      </c>
      <c r="Y14" s="86">
        <v>0.0</v>
      </c>
      <c r="Z14" s="39">
        <f>IFERROR(__xludf.DUMMYFUNCTION(" QUERY(Home!B11) * AA14"),0.0)</f>
        <v>0</v>
      </c>
      <c r="AA14" s="86">
        <f>IFERROR(__xludf.DUMMYFUNCTION("IF(QUERY(Home!C6)=""Overweight"", 0.25, 0)"),0.0)</f>
        <v>0</v>
      </c>
      <c r="AB14" s="112">
        <f>IFERROR(__xludf.DUMMYFUNCTION(" QUERY(Home!B17) * AC14"),0.0)</f>
        <v>0</v>
      </c>
      <c r="AC14" s="86">
        <v>0.0</v>
      </c>
    </row>
    <row r="15">
      <c r="A15" s="108" t="str">
        <f t="shared" si="1"/>
        <v>AIMOX</v>
      </c>
      <c r="B15" s="87">
        <f>'Source Data'!D15/Home!B2</f>
        <v>0</v>
      </c>
      <c r="C15" s="55" t="s">
        <v>79</v>
      </c>
      <c r="D15" s="39">
        <f>IFERROR(__xludf.DUMMYFUNCTION("IF(QUERY(Home!C3)=""Underweight"", G15, IF(QUERY(Home!C3)=""Neutral"", E15, I15))"),0.0)</f>
        <v>0</v>
      </c>
      <c r="E15" s="112">
        <f>IFERROR(__xludf.DUMMYFUNCTION(" QUERY(Home!B9) * F15"),0.0)</f>
        <v>0</v>
      </c>
      <c r="F15" s="86">
        <v>0.0</v>
      </c>
      <c r="G15" s="112">
        <f>IFERROR(__xludf.DUMMYFUNCTION(" QUERY(Home!B9) * H15"),0.0)</f>
        <v>0</v>
      </c>
      <c r="H15" s="86">
        <v>0.0</v>
      </c>
      <c r="I15" s="39">
        <f>E6 + (SUM(I17:I26) * (E6/SUM(E2:E7)))</f>
        <v>0</v>
      </c>
      <c r="J15" s="86">
        <f>I15/I28</f>
        <v>0</v>
      </c>
      <c r="K15" s="4"/>
      <c r="N15" s="111" t="str">
        <f>IFERROR(__xludf.DUMMYFUNCTION("IF(QUERY(Home!C3)=""Underweight"", Q15, IF(QUERY(Home!C3)=""Neutral"", O15, S15))"),"")</f>
        <v/>
      </c>
      <c r="O15" s="135"/>
      <c r="S15" s="39"/>
      <c r="V15" s="55"/>
    </row>
    <row r="16">
      <c r="A16" s="108" t="str">
        <f t="shared" si="1"/>
        <v>QEMLX</v>
      </c>
      <c r="B16" s="87">
        <f>'Source Data'!D16/Home!B2</f>
        <v>0</v>
      </c>
      <c r="C16" s="55" t="s">
        <v>80</v>
      </c>
      <c r="D16" s="111">
        <f>IFERROR(__xludf.DUMMYFUNCTION("IF(QUERY(Home!C3)=""Underweight"", G16, IF(QUERY(Home!C3)=""Neutral"", E16, I16))"),0.0)</f>
        <v>0</v>
      </c>
      <c r="E16" s="112">
        <f>IFERROR(__xludf.DUMMYFUNCTION(" QUERY(Home!B9) * F16"),0.0)</f>
        <v>0</v>
      </c>
      <c r="F16" s="86">
        <v>0.0</v>
      </c>
      <c r="G16" s="112">
        <f>IFERROR(__xludf.DUMMYFUNCTION(" QUERY(Home!B9) * H16"),0.0)</f>
        <v>0</v>
      </c>
      <c r="H16" s="86">
        <v>0.0</v>
      </c>
      <c r="I16" s="39">
        <f>E7 + (SUM(I17:I26) * (E7/SUM(E2:E7)))</f>
        <v>52990.56865</v>
      </c>
      <c r="J16" s="87">
        <f>I16/I28</f>
        <v>0.1324764216</v>
      </c>
      <c r="K16" s="4"/>
      <c r="N16" s="117">
        <f t="shared" ref="N16:T16" si="2">SUM(N1:N14)</f>
        <v>400000</v>
      </c>
      <c r="O16" s="117">
        <f t="shared" si="2"/>
        <v>400000</v>
      </c>
      <c r="P16" s="136">
        <f t="shared" si="2"/>
        <v>1</v>
      </c>
      <c r="Q16" s="117">
        <f t="shared" si="2"/>
        <v>400000</v>
      </c>
      <c r="R16" s="136">
        <f t="shared" si="2"/>
        <v>1</v>
      </c>
      <c r="S16" s="117">
        <f t="shared" si="2"/>
        <v>400000</v>
      </c>
      <c r="T16" s="136">
        <f t="shared" si="2"/>
        <v>1</v>
      </c>
      <c r="V16" s="55"/>
      <c r="W16" s="111">
        <f t="shared" ref="W16:AC16" si="3">SUM(W2:W14)</f>
        <v>200000</v>
      </c>
      <c r="X16" s="111">
        <f t="shared" si="3"/>
        <v>200000</v>
      </c>
      <c r="Y16" s="86">
        <f t="shared" si="3"/>
        <v>1</v>
      </c>
      <c r="Z16" s="111">
        <f t="shared" si="3"/>
        <v>200000</v>
      </c>
      <c r="AA16" s="86">
        <f t="shared" si="3"/>
        <v>1</v>
      </c>
      <c r="AB16" s="111">
        <f t="shared" si="3"/>
        <v>200000</v>
      </c>
      <c r="AC16" s="86">
        <f t="shared" si="3"/>
        <v>1</v>
      </c>
    </row>
    <row r="17">
      <c r="A17" s="108" t="str">
        <f t="shared" si="1"/>
        <v>PEDIX</v>
      </c>
      <c r="B17" s="109">
        <f>'Source Data'!D17/Home!B2</f>
        <v>0</v>
      </c>
      <c r="C17" s="110" t="s">
        <v>29</v>
      </c>
      <c r="D17" s="111">
        <f>IFERROR(__xludf.DUMMYFUNCTION("IF(QUERY(Home!C3)=""Underweight"", G17, IF(QUERY(Home!C3)=""Neutral"", E17, I17))"),0.0)</f>
        <v>0</v>
      </c>
      <c r="E17" s="112">
        <f>IFERROR(__xludf.DUMMYFUNCTION(" QUERY(Home!B9) * F17"),0.0)</f>
        <v>0</v>
      </c>
      <c r="F17" s="113">
        <v>0.0</v>
      </c>
      <c r="G17" s="112">
        <f>IFERROR(__xludf.DUMMYFUNCTION(" (QUERY(Home!B9) * H17) + G27 * (E17/SUM(E17:E27))"),0.0)</f>
        <v>0</v>
      </c>
      <c r="H17" s="86">
        <f>IFERROR(__xludf.DUMMYFUNCTION("IF(QUERY(Home!C7)=""Overweight"", IF(QUERY(Home!C6)=""Overweight"", F17*0.75*0.33333333, F17*0.75*0.66666666), IF(QUERY(Home!C6)=""Overweight"", F17*0.75*0.66666666, F17))"),0.0)</f>
        <v>0</v>
      </c>
      <c r="I17" s="112">
        <f>IFERROR(__xludf.DUMMYFUNCTION(" QUERY(Home!B9) * J17"),0.0)</f>
        <v>0</v>
      </c>
      <c r="J17" s="86">
        <f t="shared" ref="J17:J23" si="4">F17*0.5</f>
        <v>0</v>
      </c>
      <c r="K17" s="4"/>
      <c r="V17" s="55"/>
      <c r="W17" s="55"/>
      <c r="X17" s="112"/>
      <c r="Y17" s="86"/>
      <c r="Z17" s="112"/>
      <c r="AA17" s="86"/>
      <c r="AB17" s="117"/>
      <c r="AC17" s="86"/>
    </row>
    <row r="18">
      <c r="A18" s="108" t="str">
        <f t="shared" si="1"/>
        <v>PTSHX</v>
      </c>
      <c r="B18" s="109">
        <f>'Source Data'!D18/Home!B2</f>
        <v>0.0188</v>
      </c>
      <c r="C18" s="110" t="s">
        <v>65</v>
      </c>
      <c r="D18" s="111">
        <f>IFERROR(__xludf.DUMMYFUNCTION("IF(QUERY(Home!C3)=""Underweight"", G18, IF(QUERY(Home!C3)=""Neutral"", E18, I18))"),18800.0)</f>
        <v>18800</v>
      </c>
      <c r="E18" s="112">
        <f>IFERROR(__xludf.DUMMYFUNCTION(" QUERY(Home!B9) * F18"),18800.0)</f>
        <v>18800</v>
      </c>
      <c r="F18" s="113">
        <v>0.047</v>
      </c>
      <c r="G18" s="112">
        <f>IFERROR(__xludf.DUMMYFUNCTION(" (QUERY(Home!B9) * H18) + G27 * (E18/SUM(E17:E27))"),21545.877920741936)</f>
        <v>21545.87792</v>
      </c>
      <c r="H18" s="86">
        <f>IFERROR(__xludf.DUMMYFUNCTION("IF(QUERY(Home!C7)=""Overweight"", IF(QUERY(Home!C6)=""Overweight"", F18*0.75*0.33333333, F18*0.75*0.66666666), IF(QUERY(Home!C6)=""Overweight"", F18*0.75*0.66666666, F18*0.75))"),0.023499999765)</f>
        <v>0.02349999977</v>
      </c>
      <c r="I18" s="112">
        <f>IFERROR(__xludf.DUMMYFUNCTION(" QUERY(Home!B9) * J18"),9400.0)</f>
        <v>9400</v>
      </c>
      <c r="J18" s="86">
        <f t="shared" si="4"/>
        <v>0.0235</v>
      </c>
      <c r="K18" s="4"/>
      <c r="M18" s="55"/>
      <c r="N18" s="55"/>
      <c r="O18" s="39"/>
      <c r="P18" s="115"/>
      <c r="Q18" s="39"/>
      <c r="R18" s="115"/>
      <c r="S18" s="39"/>
      <c r="T18" s="115"/>
      <c r="V18" s="55"/>
      <c r="W18" s="55"/>
      <c r="X18" s="112"/>
      <c r="Y18" s="86"/>
      <c r="Z18" s="112"/>
      <c r="AA18" s="86"/>
      <c r="AB18" s="117"/>
      <c r="AC18" s="86"/>
    </row>
    <row r="19">
      <c r="A19" s="108" t="str">
        <f t="shared" si="1"/>
        <v>PIGIX</v>
      </c>
      <c r="B19" s="109">
        <f>'Source Data'!D19/Home!B2</f>
        <v>0</v>
      </c>
      <c r="C19" s="110" t="s">
        <v>35</v>
      </c>
      <c r="D19" s="111">
        <f>IFERROR(__xludf.DUMMYFUNCTION("IF(QUERY(Home!C3)=""Underweight"", G19, IF(QUERY(Home!C3)=""Neutral"", E19, I19))"),0.0)</f>
        <v>0</v>
      </c>
      <c r="E19" s="112">
        <f>IFERROR(__xludf.DUMMYFUNCTION(" QUERY(Home!B9) * F19"),0.0)</f>
        <v>0</v>
      </c>
      <c r="F19" s="113">
        <v>0.0</v>
      </c>
      <c r="G19" s="112">
        <f>IFERROR(__xludf.DUMMYFUNCTION(" (QUERY(Home!B9) * H19) + G27 * (E19/SUM(E17:E27))"),0.0)</f>
        <v>0</v>
      </c>
      <c r="H19" s="86">
        <f>IFERROR(__xludf.DUMMYFUNCTION("IF(QUERY(Home!C7)=""Overweight"", IF(QUERY(Home!C6)=""Overweight"", F19*0.75*0.33333333, F19*0.75*0.66666666), IF(QUERY(Home!C6)=""Overweight"", F19*0.75*0.66666666, F19*0.75))"),0.0)</f>
        <v>0</v>
      </c>
      <c r="I19" s="112">
        <f>IFERROR(__xludf.DUMMYFUNCTION(" QUERY(Home!B9) * J19"),0.0)</f>
        <v>0</v>
      </c>
      <c r="J19" s="86">
        <f t="shared" si="4"/>
        <v>0</v>
      </c>
      <c r="K19" s="4"/>
      <c r="V19" s="55"/>
      <c r="W19" s="55"/>
      <c r="X19" s="112"/>
      <c r="Y19" s="86"/>
      <c r="Z19" s="112"/>
      <c r="AA19" s="86"/>
      <c r="AB19" s="117"/>
      <c r="AC19" s="86"/>
    </row>
    <row r="20">
      <c r="A20" s="108" t="str">
        <f t="shared" si="1"/>
        <v>PHSIX</v>
      </c>
      <c r="B20" s="109">
        <f>'Source Data'!D20/Home!B2</f>
        <v>0.028</v>
      </c>
      <c r="C20" s="110" t="s">
        <v>81</v>
      </c>
      <c r="D20" s="111">
        <f>IFERROR(__xludf.DUMMYFUNCTION("IF(QUERY(Home!C3)=""Underweight"", G20, IF(QUERY(Home!C3)=""Neutral"", E20, I20))"),28000.000000000004)</f>
        <v>28000</v>
      </c>
      <c r="E20" s="112">
        <f>IFERROR(__xludf.DUMMYFUNCTION(" QUERY(Home!B9) * F20"),28000.000000000004)</f>
        <v>28000</v>
      </c>
      <c r="F20" s="113">
        <v>0.07</v>
      </c>
      <c r="G20" s="112">
        <f>IFERROR(__xludf.DUMMYFUNCTION(" (QUERY(Home!B9) * H20) + G27 * (E20/SUM(E17:E27))"),32089.605413870973)</f>
        <v>32089.60541</v>
      </c>
      <c r="H20" s="86">
        <f>IFERROR(__xludf.DUMMYFUNCTION("IF(QUERY(Home!C7)=""Overweight"", IF(QUERY(Home!C6)=""Overweight"", F20*0.75*0.33333333, F20*0.75*0.66666666), IF(QUERY(Home!C6)=""Overweight"", F20*0.75*0.66666666, F20*0.75))"),0.03499999965)</f>
        <v>0.03499999965</v>
      </c>
      <c r="I20" s="112">
        <f>IFERROR(__xludf.DUMMYFUNCTION(" QUERY(Home!B9) * J20"),14000.000000000002)</f>
        <v>14000</v>
      </c>
      <c r="J20" s="86">
        <f t="shared" si="4"/>
        <v>0.035</v>
      </c>
      <c r="K20" s="55"/>
      <c r="V20" s="55"/>
    </row>
    <row r="21">
      <c r="A21" s="108" t="str">
        <f t="shared" si="1"/>
        <v>PEBIX</v>
      </c>
      <c r="B21" s="109">
        <f>'Source Data'!D21/Home!B2</f>
        <v>0.0092</v>
      </c>
      <c r="C21" s="110" t="s">
        <v>82</v>
      </c>
      <c r="D21" s="111">
        <f>IFERROR(__xludf.DUMMYFUNCTION("IF(QUERY(Home!C3)=""Underweight"", G21, IF(QUERY(Home!C3)=""Neutral"", E21, I21))"),9200.0)</f>
        <v>9200</v>
      </c>
      <c r="E21" s="112">
        <f>IFERROR(__xludf.DUMMYFUNCTION(" QUERY(Home!B9) * F21"),9200.0)</f>
        <v>9200</v>
      </c>
      <c r="F21" s="113">
        <v>0.023</v>
      </c>
      <c r="G21" s="112">
        <f>IFERROR(__xludf.DUMMYFUNCTION(" (QUERY(Home!B9) * H21) + G27 * (E21/SUM(E17:E27))"),10543.727493129032)</f>
        <v>10543.72749</v>
      </c>
      <c r="H21" s="86">
        <f>IFERROR(__xludf.DUMMYFUNCTION("IF(QUERY(Home!C7)=""Overweight"", IF(QUERY(Home!C6)=""Overweight"", F21*0.75*0.33333333, F21*0.75*0.66666666), IF(QUERY(Home!C6)=""Overweight"", F21*0.75*0.66666666, F21*0.75))"),0.011499999885)</f>
        <v>0.01149999989</v>
      </c>
      <c r="I21" s="112">
        <f>IFERROR(__xludf.DUMMYFUNCTION(" QUERY(Home!B9) * J21"),4600.0)</f>
        <v>4600</v>
      </c>
      <c r="J21" s="86">
        <f t="shared" si="4"/>
        <v>0.0115</v>
      </c>
      <c r="K21" s="55"/>
      <c r="V21" s="55"/>
      <c r="W21" s="55"/>
      <c r="X21" s="112"/>
      <c r="Y21" s="86"/>
      <c r="Z21" s="112"/>
      <c r="AA21" s="86"/>
      <c r="AB21" s="117"/>
      <c r="AC21" s="86"/>
    </row>
    <row r="22">
      <c r="A22" s="108" t="str">
        <f t="shared" si="1"/>
        <v>PFORX</v>
      </c>
      <c r="B22" s="109">
        <f>'Source Data'!D22/Home!B2</f>
        <v>0.0372</v>
      </c>
      <c r="C22" s="110" t="s">
        <v>83</v>
      </c>
      <c r="D22" s="111">
        <f>IFERROR(__xludf.DUMMYFUNCTION("IF(QUERY(Home!C3)=""Underweight"", G22, IF(QUERY(Home!C3)=""Neutral"", E22, I22))"),37200.0)</f>
        <v>37200</v>
      </c>
      <c r="E22" s="112">
        <f>IFERROR(__xludf.DUMMYFUNCTION(" QUERY(Home!B9) * F22"),37200.0)</f>
        <v>37200</v>
      </c>
      <c r="F22" s="113">
        <v>0.093</v>
      </c>
      <c r="G22" s="112">
        <f>IFERROR(__xludf.DUMMYFUNCTION(" (QUERY(Home!B9) * H22) + G27 * (E22/SUM(E17:E27))"),42633.332907)</f>
        <v>42633.33291</v>
      </c>
      <c r="H22" s="86">
        <f>IFERROR(__xludf.DUMMYFUNCTION("IF(QUERY(Home!C7)=""Overweight"", IF(QUERY(Home!C6)=""Overweight"", F22*0.75*0.33333333, F22*0.75*0.66666666), IF(QUERY(Home!C6)=""Overweight"", F22*0.75*0.66666666, F22*0.75))"),0.046499999535)</f>
        <v>0.04649999954</v>
      </c>
      <c r="I22" s="112">
        <f>IFERROR(__xludf.DUMMYFUNCTION(" QUERY(Home!B9) * J22"),18600.0)</f>
        <v>18600</v>
      </c>
      <c r="J22" s="86">
        <f t="shared" si="4"/>
        <v>0.0465</v>
      </c>
      <c r="K22" s="55"/>
      <c r="V22" s="55"/>
      <c r="W22" s="55"/>
      <c r="X22" s="112"/>
      <c r="Y22" s="86"/>
      <c r="Z22" s="112"/>
      <c r="AA22" s="86"/>
      <c r="AB22" s="117"/>
      <c r="AC22" s="86"/>
    </row>
    <row r="23">
      <c r="A23" s="108" t="str">
        <f t="shared" si="1"/>
        <v>PAIDX</v>
      </c>
      <c r="B23" s="137">
        <f>'Source Data'!D23/Home!B2</f>
        <v>0.0184</v>
      </c>
      <c r="C23" s="110" t="s">
        <v>70</v>
      </c>
      <c r="D23" s="111">
        <f>IFERROR(__xludf.DUMMYFUNCTION("IF(QUERY(Home!C3)=""Underweight"", G23, IF(QUERY(Home!C3)=""Neutral"", E23, I23))"),18400.0)</f>
        <v>18400</v>
      </c>
      <c r="E23" s="112">
        <f>IFERROR(__xludf.DUMMYFUNCTION(" QUERY(Home!B9) * F23"),18400.0)</f>
        <v>18400</v>
      </c>
      <c r="F23" s="113">
        <v>0.046</v>
      </c>
      <c r="G23" s="112">
        <f>IFERROR(__xludf.DUMMYFUNCTION(" (QUERY(Home!B9) * H23) + G27 * (E23/SUM(E17:E27))"),21087.454986258064)</f>
        <v>21087.45499</v>
      </c>
      <c r="H23" s="86">
        <f>IFERROR(__xludf.DUMMYFUNCTION("IF(QUERY(Home!C7)=""Overweight"", IF(QUERY(Home!C6)=""Overweight"", F23*0.75*0.33333333, F23*0.75*0.66666666), IF(QUERY(Home!C6)=""Overweight"", F23*0.75*0.66666666, F23*0.75))"),0.02299999977)</f>
        <v>0.02299999977</v>
      </c>
      <c r="I23" s="112">
        <f>IFERROR(__xludf.DUMMYFUNCTION(" QUERY(Home!B9) * J23"),9200.0)</f>
        <v>9200</v>
      </c>
      <c r="J23" s="86">
        <f t="shared" si="4"/>
        <v>0.023</v>
      </c>
      <c r="K23" s="55"/>
      <c r="V23" s="55"/>
      <c r="W23" s="55"/>
      <c r="X23" s="112"/>
      <c r="Y23" s="86"/>
      <c r="Z23" s="112"/>
      <c r="AA23" s="86"/>
      <c r="AB23" s="117"/>
      <c r="AC23" s="86"/>
    </row>
    <row r="24">
      <c r="A24" s="138" t="str">
        <f t="shared" si="1"/>
        <v>ARCIX</v>
      </c>
      <c r="B24" s="87">
        <f>'Source Data'!D24/Home!B2</f>
        <v>0</v>
      </c>
      <c r="C24" s="139" t="s">
        <v>76</v>
      </c>
      <c r="D24" s="140">
        <f>IFERROR(__xludf.DUMMYFUNCTION("IF(QUERY(Home!C3)=""Underweight"", G24, IF(QUERY(Home!C3)=""Neutral"", E24, I24))"),0.0)</f>
        <v>0</v>
      </c>
      <c r="E24" s="140">
        <f>IFERROR(__xludf.DUMMYFUNCTION(" QUERY(Home!B10) * F24"),0.0)</f>
        <v>0</v>
      </c>
      <c r="F24" s="141">
        <v>0.0</v>
      </c>
      <c r="G24" s="140">
        <f>IFERROR(__xludf.DUMMYFUNCTION(" QUERY(Home!B9) * H24"),100000.0)</f>
        <v>100000</v>
      </c>
      <c r="H24" s="141">
        <f>IFERROR(__xludf.DUMMYFUNCTION("IF(QUERY(Home!C7)=""Overweight"", 0.25, 0)"),0.25)</f>
        <v>0.25</v>
      </c>
      <c r="I24" s="140">
        <f>IFERROR(__xludf.DUMMYFUNCTION(" QUERY(Home!B10) * J24"),0.0)</f>
        <v>0</v>
      </c>
      <c r="J24" s="141">
        <v>0.0</v>
      </c>
      <c r="K24" s="55"/>
      <c r="V24" s="55"/>
      <c r="W24" s="55"/>
      <c r="X24" s="112"/>
      <c r="Y24" s="86"/>
      <c r="Z24" s="112"/>
      <c r="AA24" s="86"/>
      <c r="AB24" s="117"/>
      <c r="AC24" s="86"/>
    </row>
    <row r="25">
      <c r="A25" s="142" t="str">
        <f t="shared" si="1"/>
        <v>VGPMX</v>
      </c>
      <c r="B25" s="87">
        <f>'Source Data'!D25/Home!B2</f>
        <v>0</v>
      </c>
      <c r="C25" s="55" t="s">
        <v>78</v>
      </c>
      <c r="D25" s="140">
        <f>IFERROR(__xludf.DUMMYFUNCTION("IF(QUERY(Home!C3)=""Underweight"", G25, IF(QUERY(Home!C3)=""Neutral"", E25, I25))"),0.0)</f>
        <v>0</v>
      </c>
      <c r="E25" s="140">
        <f>IFERROR(__xludf.DUMMYFUNCTION(" QUERY(Home!B10) * F25"),0.0)</f>
        <v>0</v>
      </c>
      <c r="F25" s="141">
        <v>0.0</v>
      </c>
      <c r="G25" s="140">
        <f>IFERROR(__xludf.DUMMYFUNCTION(" QUERY(Home!B9) * H25"),0.0)</f>
        <v>0</v>
      </c>
      <c r="H25" s="141">
        <f>IFERROR(__xludf.DUMMYFUNCTION("IF(QUERY(Home!C6)=""Overweight"", 0.25, 0)"),0.0)</f>
        <v>0</v>
      </c>
      <c r="I25" s="140">
        <f>IFERROR(__xludf.DUMMYFUNCTION(" QUERY(Home!B10) * J25"),0.0)</f>
        <v>0</v>
      </c>
      <c r="J25" s="141">
        <v>0.0</v>
      </c>
      <c r="K25" s="55"/>
      <c r="V25" s="55"/>
      <c r="W25" s="55"/>
      <c r="X25" s="112"/>
      <c r="Y25" s="86"/>
      <c r="Z25" s="112"/>
      <c r="AA25" s="86"/>
      <c r="AB25" s="117"/>
      <c r="AC25" s="86"/>
    </row>
    <row r="26">
      <c r="A26" s="108" t="str">
        <f t="shared" si="1"/>
        <v>PBRIX</v>
      </c>
      <c r="B26" s="109">
        <f>'Source Data'!D26/Home!B2</f>
        <v>0</v>
      </c>
      <c r="C26" s="55" t="s">
        <v>73</v>
      </c>
      <c r="D26" s="111">
        <f>IFERROR(__xludf.DUMMYFUNCTION("IF(QUERY(Home!C3)=""Underweight"", G26,0)"),0.0)</f>
        <v>0</v>
      </c>
      <c r="E26" s="112">
        <f>IFERROR(__xludf.DUMMYFUNCTION(" QUERY(Home!B9) * F26"),0.0)</f>
        <v>0</v>
      </c>
      <c r="F26" s="86">
        <v>0.0</v>
      </c>
      <c r="G26" s="112">
        <f>IFERROR(__xludf.DUMMYFUNCTION(" QUERY(Home!B9) * H26"),100000.0)</f>
        <v>100000</v>
      </c>
      <c r="H26" s="86">
        <v>0.25</v>
      </c>
      <c r="I26" s="112">
        <f>IFERROR(__xludf.DUMMYFUNCTION(" QUERY(Home!B9) * J26"),0.0)</f>
        <v>0</v>
      </c>
      <c r="J26" s="86">
        <v>0.0</v>
      </c>
      <c r="K26" s="55"/>
      <c r="V26" s="55"/>
      <c r="W26" s="55"/>
      <c r="X26" s="112"/>
      <c r="Y26" s="86"/>
      <c r="Z26" s="112"/>
      <c r="AA26" s="86"/>
      <c r="AB26" s="117"/>
      <c r="AC26" s="86"/>
    </row>
    <row r="27">
      <c r="A27" s="11"/>
      <c r="B27" s="11"/>
      <c r="G27" s="39">
        <f>SUM(G2:G11)</f>
        <v>72099.99928</v>
      </c>
      <c r="H27" s="136">
        <f>G27/G28</f>
        <v>0.1802499991</v>
      </c>
      <c r="K27" s="55"/>
      <c r="V27" s="55"/>
      <c r="W27" s="55"/>
      <c r="X27" s="112"/>
      <c r="Y27" s="86"/>
      <c r="Z27" s="112"/>
      <c r="AA27" s="86"/>
      <c r="AB27" s="117"/>
      <c r="AC27" s="86"/>
    </row>
    <row r="28">
      <c r="A28" s="55" t="str">
        <f t="shared" ref="A28:A39" si="7">M2</f>
        <v>PEDIX</v>
      </c>
      <c r="B28" s="109">
        <f> 'Source Data'!N2/Home!B2</f>
        <v>0.01</v>
      </c>
      <c r="D28" s="117">
        <f t="shared" ref="D28:G28" si="5">SUM(D2:D26)</f>
        <v>400000</v>
      </c>
      <c r="E28" s="117">
        <f t="shared" si="5"/>
        <v>400000</v>
      </c>
      <c r="F28" s="136">
        <f t="shared" si="5"/>
        <v>1</v>
      </c>
      <c r="G28" s="117">
        <f t="shared" si="5"/>
        <v>399999.998</v>
      </c>
      <c r="H28" s="136">
        <f>SUM(H2:H27)</f>
        <v>0.9999999959</v>
      </c>
      <c r="I28" s="117">
        <f t="shared" ref="I28:J28" si="6">SUM(I2:I26)</f>
        <v>400000</v>
      </c>
      <c r="J28" s="136">
        <f t="shared" si="6"/>
        <v>1</v>
      </c>
      <c r="K28" s="4"/>
      <c r="L28" s="4"/>
      <c r="V28" s="55"/>
      <c r="W28" s="111"/>
      <c r="X28" s="112"/>
      <c r="Y28" s="86"/>
      <c r="Z28" s="112"/>
      <c r="AA28" s="85"/>
      <c r="AB28" s="112"/>
      <c r="AC28" s="86"/>
    </row>
    <row r="29">
      <c r="A29" s="55" t="str">
        <f t="shared" si="7"/>
        <v>PTCIX</v>
      </c>
      <c r="B29" s="87">
        <f> 'Source Data'!N3/Home!B2</f>
        <v>0.01</v>
      </c>
      <c r="K29" s="55"/>
      <c r="L29" s="55"/>
    </row>
    <row r="30">
      <c r="A30" s="55" t="str">
        <f t="shared" si="7"/>
        <v>PIGIX</v>
      </c>
      <c r="B30" s="109">
        <f> 'Source Data'!N4/Home!B2</f>
        <v>0.01</v>
      </c>
    </row>
    <row r="31">
      <c r="A31" s="55" t="str">
        <f t="shared" si="7"/>
        <v>PGOVX</v>
      </c>
      <c r="B31" s="109">
        <f> 'Source Data'!N5/Home!B2</f>
        <v>0.01</v>
      </c>
    </row>
    <row r="32">
      <c r="A32" s="55" t="str">
        <f t="shared" si="7"/>
        <v>DFGBX</v>
      </c>
      <c r="B32" s="109">
        <f> 'Source Data'!N6/Home!B2</f>
        <v>0.02</v>
      </c>
      <c r="C32" s="133"/>
      <c r="D32" s="133"/>
      <c r="E32" s="133"/>
    </row>
    <row r="33">
      <c r="A33" s="55" t="str">
        <f t="shared" si="7"/>
        <v>VSGDX</v>
      </c>
      <c r="B33" s="109">
        <f> 'Source Data'!N7/Home!B2</f>
        <v>0.06</v>
      </c>
    </row>
    <row r="34">
      <c r="A34" s="55" t="str">
        <f t="shared" si="7"/>
        <v>DFIGX</v>
      </c>
      <c r="B34" s="109">
        <f> 'Source Data'!N8/Home!B2</f>
        <v>0.04</v>
      </c>
    </row>
    <row r="35">
      <c r="A35" s="55" t="str">
        <f t="shared" si="7"/>
        <v>PTSHX</v>
      </c>
      <c r="B35" s="109">
        <f> 'Source Data'!N9/Home!B2</f>
        <v>0.06</v>
      </c>
    </row>
    <row r="36">
      <c r="A36" s="55" t="str">
        <f t="shared" si="7"/>
        <v>VFIRX</v>
      </c>
      <c r="B36" s="109">
        <f> 'Source Data'!N10/Home!B2</f>
        <v>0.06</v>
      </c>
    </row>
    <row r="37">
      <c r="A37" s="55" t="str">
        <f t="shared" si="7"/>
        <v>PAIDX</v>
      </c>
      <c r="B37" s="109">
        <f> 'Source Data'!N11/Home!B2</f>
        <v>0.06</v>
      </c>
    </row>
    <row r="38">
      <c r="A38" s="55" t="str">
        <f t="shared" si="7"/>
        <v>PTTRX</v>
      </c>
      <c r="B38" s="109">
        <f> 'Source Data'!N12/Home!B2</f>
        <v>0.02</v>
      </c>
    </row>
    <row r="39">
      <c r="A39" s="55" t="str">
        <f t="shared" si="7"/>
        <v>PCARX</v>
      </c>
      <c r="B39" s="109">
        <f> 'Source Data'!N13/Home!B2</f>
        <v>0.04</v>
      </c>
    </row>
    <row r="41">
      <c r="A41" s="108"/>
      <c r="B41" s="109"/>
    </row>
    <row r="42">
      <c r="A42" s="108" t="str">
        <f t="shared" ref="A42:A54" si="8">V2</f>
        <v>SPAIX</v>
      </c>
      <c r="B42" s="109">
        <f>'Source Data'!W2/Home!B2</f>
        <v>0.01</v>
      </c>
    </row>
    <row r="43">
      <c r="A43" s="108" t="str">
        <f t="shared" si="8"/>
        <v>PRPFX</v>
      </c>
      <c r="B43" s="109">
        <f>'Source Data'!W3/Home!B2</f>
        <v>0.01</v>
      </c>
    </row>
    <row r="44">
      <c r="A44" s="108" t="str">
        <f t="shared" si="8"/>
        <v>BTFIX</v>
      </c>
      <c r="B44" s="109">
        <f>'Source Data'!W4/Home!B2</f>
        <v>0.03</v>
      </c>
    </row>
    <row r="45">
      <c r="A45" s="108" t="str">
        <f t="shared" si="8"/>
        <v>LONGX</v>
      </c>
      <c r="B45" s="109">
        <f>'Source Data'!W5/Home!B2</f>
        <v>0.01</v>
      </c>
    </row>
    <row r="46">
      <c r="A46" s="108" t="str">
        <f t="shared" si="8"/>
        <v>CPLIX</v>
      </c>
      <c r="B46" s="109">
        <f>'Source Data'!W6/Home!B2</f>
        <v>0.01</v>
      </c>
    </row>
    <row r="47">
      <c r="A47" s="108" t="str">
        <f t="shared" si="8"/>
        <v>QLEIX</v>
      </c>
      <c r="B47" s="109">
        <f>'Source Data'!W7/Home!B2</f>
        <v>0.01</v>
      </c>
    </row>
    <row r="48">
      <c r="A48" s="108" t="str">
        <f t="shared" si="8"/>
        <v>QMNIX</v>
      </c>
      <c r="B48" s="109">
        <f>'Source Data'!W8/Home!B2</f>
        <v>0.06</v>
      </c>
    </row>
    <row r="49">
      <c r="A49" s="108" t="str">
        <f t="shared" si="8"/>
        <v>QRPIX</v>
      </c>
      <c r="B49" s="109">
        <f>'Source Data'!W9/Home!B2</f>
        <v>0.04</v>
      </c>
    </row>
    <row r="50">
      <c r="A50" s="108" t="str">
        <f t="shared" si="8"/>
        <v>QMHIX</v>
      </c>
      <c r="B50" s="109">
        <f>'Source Data'!W10/Home!B2</f>
        <v>0.01</v>
      </c>
    </row>
    <row r="51">
      <c r="A51" s="108" t="str">
        <f t="shared" si="8"/>
        <v>WAVIX</v>
      </c>
      <c r="B51" s="109">
        <f>'Source Data'!W11/Home!B2</f>
        <v>0.01</v>
      </c>
    </row>
    <row r="52">
      <c r="A52" s="108" t="str">
        <f t="shared" si="8"/>
        <v>PBRIX</v>
      </c>
      <c r="B52" s="109">
        <f>'Source Data'!W12/Home!B2</f>
        <v>0</v>
      </c>
    </row>
    <row r="53">
      <c r="A53" s="108" t="str">
        <f t="shared" si="8"/>
        <v>ARCIX</v>
      </c>
      <c r="B53" s="109">
        <f>'Source Data'!W13/Home!B2</f>
        <v>0</v>
      </c>
    </row>
    <row r="54">
      <c r="A54" s="108" t="str">
        <f t="shared" si="8"/>
        <v>VGPMX</v>
      </c>
      <c r="B54" s="109">
        <f>'Source Data'!W14/Home!B2</f>
        <v>0</v>
      </c>
    </row>
    <row r="55">
      <c r="A55" s="133"/>
    </row>
    <row r="56">
      <c r="A56" s="133"/>
      <c r="B56" s="136">
        <f>SUM(B2:B54)</f>
        <v>1</v>
      </c>
    </row>
    <row r="57">
      <c r="A57" s="133"/>
    </row>
    <row r="58">
      <c r="A58" s="133"/>
    </row>
    <row r="59">
      <c r="A59" s="133"/>
    </row>
    <row r="60">
      <c r="A60" s="133"/>
    </row>
    <row r="61">
      <c r="A61" s="133"/>
    </row>
    <row r="62">
      <c r="A62" s="133"/>
    </row>
    <row r="63">
      <c r="A63" s="133"/>
    </row>
    <row r="64">
      <c r="A64" s="133"/>
    </row>
    <row r="65">
      <c r="A65" s="133"/>
    </row>
    <row r="66">
      <c r="A66" s="133"/>
    </row>
    <row r="67">
      <c r="A67" s="133"/>
    </row>
    <row r="68">
      <c r="A68" s="133"/>
    </row>
    <row r="69">
      <c r="A69" s="133"/>
    </row>
    <row r="70">
      <c r="A70" s="133"/>
    </row>
    <row r="71">
      <c r="A71" s="133"/>
    </row>
    <row r="72">
      <c r="A72" s="133"/>
    </row>
    <row r="73">
      <c r="A73" s="133"/>
    </row>
    <row r="74">
      <c r="A74" s="133"/>
    </row>
    <row r="75">
      <c r="A75" s="133"/>
    </row>
    <row r="76">
      <c r="A76" s="133"/>
    </row>
    <row r="77">
      <c r="A77" s="133"/>
    </row>
    <row r="78">
      <c r="A78" s="133"/>
    </row>
    <row r="79">
      <c r="A79" s="133"/>
    </row>
    <row r="80">
      <c r="A80" s="133"/>
    </row>
    <row r="81">
      <c r="A81" s="133"/>
    </row>
    <row r="82">
      <c r="A82" s="133"/>
    </row>
    <row r="83">
      <c r="A83" s="133"/>
    </row>
    <row r="84">
      <c r="A84" s="133"/>
    </row>
    <row r="85">
      <c r="A85" s="133"/>
    </row>
    <row r="86">
      <c r="A86" s="133"/>
    </row>
    <row r="87">
      <c r="A87" s="133"/>
    </row>
    <row r="88">
      <c r="A88" s="133"/>
    </row>
    <row r="89">
      <c r="A89" s="133"/>
    </row>
    <row r="90">
      <c r="A90" s="133"/>
    </row>
    <row r="91">
      <c r="A91" s="133"/>
    </row>
    <row r="92">
      <c r="A92" s="133"/>
    </row>
    <row r="93">
      <c r="A93" s="133"/>
    </row>
    <row r="94">
      <c r="A94" s="133"/>
    </row>
    <row r="95">
      <c r="A95" s="133"/>
    </row>
    <row r="96">
      <c r="A96" s="133"/>
    </row>
    <row r="97">
      <c r="A97" s="133"/>
    </row>
    <row r="98">
      <c r="A98" s="133"/>
    </row>
    <row r="99">
      <c r="A99" s="133"/>
    </row>
    <row r="100">
      <c r="A100" s="133"/>
    </row>
    <row r="101">
      <c r="A101" s="133"/>
    </row>
    <row r="102">
      <c r="A102" s="133"/>
    </row>
    <row r="103">
      <c r="A103" s="133"/>
    </row>
    <row r="104">
      <c r="A104" s="133"/>
    </row>
    <row r="105">
      <c r="A105" s="133"/>
    </row>
    <row r="106">
      <c r="A106" s="133"/>
    </row>
    <row r="107">
      <c r="A107" s="133"/>
    </row>
    <row r="108">
      <c r="A108" s="133"/>
    </row>
    <row r="109">
      <c r="A109" s="133"/>
    </row>
    <row r="110">
      <c r="A110" s="133"/>
    </row>
    <row r="111">
      <c r="A111" s="133"/>
    </row>
    <row r="112">
      <c r="A112" s="133"/>
    </row>
    <row r="113">
      <c r="A113" s="133"/>
    </row>
    <row r="114">
      <c r="A114" s="133"/>
    </row>
    <row r="115">
      <c r="A115" s="133"/>
    </row>
    <row r="116">
      <c r="A116" s="133"/>
    </row>
    <row r="117">
      <c r="A117" s="133"/>
    </row>
    <row r="118">
      <c r="A118" s="133"/>
    </row>
    <row r="119">
      <c r="A119" s="133"/>
    </row>
  </sheetData>
  <conditionalFormatting sqref="E1">
    <cfRule type="containsText" dxfId="6" priority="1" operator="containsText" text="Neutral Value (Active)">
      <formula>NOT(ISERROR(SEARCH(("Neutral Value (Active)"),(E1))))</formula>
    </cfRule>
  </conditionalFormatting>
  <conditionalFormatting sqref="F1 Y1">
    <cfRule type="containsText" dxfId="6" priority="2" operator="containsText" text="Neutral Percentage (Active)">
      <formula>NOT(ISERROR(SEARCH(("Neutral Percentage (Active)"),(F1))))</formula>
    </cfRule>
  </conditionalFormatting>
  <conditionalFormatting sqref="G1 Z1">
    <cfRule type="containsText" dxfId="6" priority="3" operator="containsText" text="Underweight Value (Active)">
      <formula>NOT(ISERROR(SEARCH(("Underweight Value (Active)"),(G1))))</formula>
    </cfRule>
  </conditionalFormatting>
  <conditionalFormatting sqref="H1 AA1">
    <cfRule type="containsText" dxfId="6" priority="4" operator="containsText" text="Underweight Percentage (Active)">
      <formula>NOT(ISERROR(SEARCH(("Underweight Percentage (Active)"),(H1))))</formula>
    </cfRule>
  </conditionalFormatting>
  <conditionalFormatting sqref="I1 AB1">
    <cfRule type="containsText" dxfId="6" priority="5" operator="containsText" text="Overweight Value (Active)">
      <formula>NOT(ISERROR(SEARCH(("Overweight Value (Active)"),(I1))))</formula>
    </cfRule>
  </conditionalFormatting>
  <conditionalFormatting sqref="J1 AC1">
    <cfRule type="containsText" dxfId="6" priority="6" operator="containsText" text="Overweight Percentage (Active)">
      <formula>NOT(ISERROR(SEARCH(("Overweight Percentage (Active)"),(J1))))</formula>
    </cfRule>
  </conditionalFormatting>
  <conditionalFormatting sqref="O1">
    <cfRule type="containsText" dxfId="6" priority="7" operator="containsText" text="Neutral Value (Active)">
      <formula>NOT(ISERROR(SEARCH(("Neutral Value (Active)"),(O1))))</formula>
    </cfRule>
  </conditionalFormatting>
  <conditionalFormatting sqref="P1">
    <cfRule type="containsText" dxfId="6" priority="8" operator="containsText" text="Neutral Percentage (Active)">
      <formula>NOT(ISERROR(SEARCH(("Neutral Percentage (Active)"),(P1))))</formula>
    </cfRule>
  </conditionalFormatting>
  <conditionalFormatting sqref="Q1">
    <cfRule type="containsText" dxfId="6" priority="9" operator="containsText" text="Underweight Value (Active)">
      <formula>NOT(ISERROR(SEARCH(("Underweight Value (Active)"),(Q1))))</formula>
    </cfRule>
  </conditionalFormatting>
  <conditionalFormatting sqref="R1">
    <cfRule type="containsText" dxfId="6" priority="10" operator="containsText" text="Underweight Percentage (Active)">
      <formula>NOT(ISERROR(SEARCH(("Underweight Percentage (Active)"),(R1))))</formula>
    </cfRule>
  </conditionalFormatting>
  <conditionalFormatting sqref="S1">
    <cfRule type="containsText" dxfId="6" priority="11" operator="containsText" text="Overweight Value (Active)">
      <formula>NOT(ISERROR(SEARCH(("Overweight Value (Active)"),(S1))))</formula>
    </cfRule>
  </conditionalFormatting>
  <conditionalFormatting sqref="T1">
    <cfRule type="containsText" dxfId="6" priority="12" operator="containsText" text="Overweight Percentage (Active)">
      <formula>NOT(ISERROR(SEARCH(("Overweight Percentage (Active)"),(T1))))</formula>
    </cfRule>
  </conditionalFormatting>
  <conditionalFormatting sqref="X1">
    <cfRule type="containsText" dxfId="6" priority="13" operator="containsText" text="Neutral Value (Active)">
      <formula>NOT(ISERROR(SEARCH(("Neutral Value (Active)"),(X1))))</formula>
    </cfRule>
  </conditionalFormatting>
  <conditionalFormatting sqref="I2:I28">
    <cfRule type="expression" dxfId="7" priority="14">
      <formula>I</formula>
    </cfRule>
  </conditionalFormatting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AAAAA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26" width="8.86"/>
  </cols>
  <sheetData>
    <row r="1">
      <c r="A1" s="143" t="s">
        <v>84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45"/>
      <c r="B3" s="143" t="s">
        <v>85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45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5"/>
      <c r="B5" s="144"/>
      <c r="C5" s="146" t="s">
        <v>86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5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5"/>
      <c r="B7" s="144"/>
      <c r="C7" s="144"/>
      <c r="D7" s="146" t="s">
        <v>87</v>
      </c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5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5"/>
      <c r="B9" s="144"/>
      <c r="C9" s="144"/>
      <c r="D9" s="146" t="s">
        <v>88</v>
      </c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5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5"/>
      <c r="B11" s="144"/>
      <c r="C11" s="144"/>
      <c r="D11" s="146" t="s">
        <v>89</v>
      </c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5"/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5"/>
      <c r="B13" s="144"/>
      <c r="C13" s="144"/>
      <c r="D13" s="144"/>
      <c r="E13" s="146" t="s">
        <v>90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5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5"/>
      <c r="B15" s="144"/>
      <c r="C15" s="144"/>
      <c r="D15" s="144"/>
      <c r="E15" s="146" t="s">
        <v>91</v>
      </c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4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4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4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4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4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AAAAA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9" width="8.86"/>
    <col customWidth="1" min="10" max="10" width="14.14"/>
    <col customWidth="1" min="11" max="11" width="11.0"/>
    <col customWidth="1" min="12" max="12" width="15.43"/>
    <col customWidth="1" min="25" max="27" width="8.86"/>
  </cols>
  <sheetData>
    <row r="1">
      <c r="A1" s="40" t="s">
        <v>92</v>
      </c>
      <c r="B1" s="2"/>
      <c r="C1" s="2"/>
      <c r="D1" s="2"/>
      <c r="E1" s="147"/>
      <c r="F1" s="2"/>
      <c r="G1" s="2"/>
      <c r="H1" s="148" t="s">
        <v>93</v>
      </c>
      <c r="I1" s="5"/>
      <c r="J1" s="149" t="s">
        <v>94</v>
      </c>
      <c r="K1" s="150" t="s">
        <v>95</v>
      </c>
      <c r="L1" s="151" t="s">
        <v>96</v>
      </c>
      <c r="Y1" s="4"/>
      <c r="Z1" s="4"/>
      <c r="AA1" s="4"/>
    </row>
    <row r="2">
      <c r="A2" s="2"/>
      <c r="B2" s="2"/>
      <c r="C2" s="2"/>
      <c r="D2" s="2"/>
      <c r="E2" s="147"/>
      <c r="F2" s="2"/>
      <c r="G2" s="2"/>
      <c r="H2" s="147"/>
      <c r="I2" s="2"/>
      <c r="J2" s="152">
        <v>52.99</v>
      </c>
      <c r="K2" s="153" t="s">
        <v>97</v>
      </c>
      <c r="L2" s="154">
        <v>77.0</v>
      </c>
      <c r="Y2" s="4"/>
      <c r="Z2" s="4"/>
      <c r="AA2" s="4"/>
    </row>
    <row r="3">
      <c r="A3" s="2"/>
      <c r="B3" s="2"/>
      <c r="C3" s="2"/>
      <c r="D3" s="2"/>
      <c r="E3" s="147"/>
      <c r="F3" s="2"/>
      <c r="G3" s="2"/>
      <c r="H3" s="147"/>
      <c r="I3" s="2"/>
      <c r="J3" s="155"/>
      <c r="K3" s="155"/>
      <c r="L3" s="155"/>
      <c r="Y3" s="4"/>
      <c r="Z3" s="4"/>
      <c r="AA3" s="4"/>
    </row>
    <row r="4">
      <c r="A4" s="8" t="s">
        <v>98</v>
      </c>
      <c r="B4" s="2"/>
      <c r="C4" s="2"/>
      <c r="D4" s="2"/>
      <c r="E4" s="2"/>
      <c r="F4" s="2"/>
      <c r="G4" s="2"/>
      <c r="H4" s="156" t="s">
        <v>99</v>
      </c>
      <c r="I4" s="5"/>
      <c r="J4" s="149" t="s">
        <v>94</v>
      </c>
      <c r="K4" s="157" t="s">
        <v>95</v>
      </c>
      <c r="L4" s="151" t="s">
        <v>96</v>
      </c>
      <c r="Y4" s="4"/>
      <c r="Z4" s="4"/>
      <c r="AA4" s="4"/>
    </row>
    <row r="5">
      <c r="A5" s="2"/>
      <c r="B5" s="2"/>
      <c r="C5" s="2"/>
      <c r="D5" s="2"/>
      <c r="E5" s="147"/>
      <c r="F5" s="2"/>
      <c r="G5" s="2"/>
      <c r="H5" s="147"/>
      <c r="I5" s="2"/>
      <c r="J5" s="154">
        <v>45.59</v>
      </c>
      <c r="K5" s="153" t="s">
        <v>100</v>
      </c>
      <c r="L5" s="154">
        <v>74.4</v>
      </c>
      <c r="Y5" s="4"/>
      <c r="Z5" s="4"/>
      <c r="AA5" s="4"/>
    </row>
    <row r="6">
      <c r="A6" s="2"/>
      <c r="B6" s="2"/>
      <c r="C6" s="2"/>
      <c r="D6" s="2"/>
      <c r="E6" s="147"/>
      <c r="F6" s="2"/>
      <c r="G6" s="2"/>
      <c r="H6" s="147"/>
      <c r="I6" s="2"/>
      <c r="J6" s="154"/>
      <c r="K6" s="153"/>
      <c r="L6" s="154"/>
      <c r="Y6" s="4"/>
      <c r="Z6" s="4"/>
      <c r="AA6" s="4"/>
    </row>
    <row r="7">
      <c r="A7" s="8" t="s">
        <v>101</v>
      </c>
      <c r="B7" s="2"/>
      <c r="C7" s="2"/>
      <c r="D7" s="2"/>
      <c r="E7" s="2"/>
      <c r="F7" s="2"/>
      <c r="G7" s="2"/>
      <c r="H7" s="156" t="s">
        <v>102</v>
      </c>
      <c r="I7" s="5"/>
      <c r="J7" s="149" t="s">
        <v>94</v>
      </c>
      <c r="K7" s="157" t="s">
        <v>95</v>
      </c>
      <c r="L7" s="151" t="s">
        <v>96</v>
      </c>
      <c r="Y7" s="4"/>
      <c r="Z7" s="4"/>
      <c r="AA7" s="4"/>
    </row>
    <row r="8">
      <c r="A8" s="2"/>
      <c r="B8" s="2"/>
      <c r="C8" s="2"/>
      <c r="D8" s="2"/>
      <c r="E8" s="147"/>
      <c r="F8" s="2"/>
      <c r="G8" s="2"/>
      <c r="H8" s="147"/>
      <c r="I8" s="2"/>
      <c r="J8" s="154">
        <v>54.99</v>
      </c>
      <c r="K8" s="153" t="s">
        <v>103</v>
      </c>
      <c r="L8" s="154">
        <v>70.0</v>
      </c>
      <c r="Y8" s="4"/>
      <c r="Z8" s="4"/>
      <c r="AA8" s="4"/>
    </row>
    <row r="9">
      <c r="A9" s="2"/>
      <c r="B9" s="2"/>
      <c r="C9" s="2"/>
      <c r="D9" s="2"/>
      <c r="E9" s="147"/>
      <c r="F9" s="2"/>
      <c r="G9" s="2"/>
      <c r="H9" s="147"/>
      <c r="I9" s="2"/>
      <c r="J9" s="154"/>
      <c r="K9" s="153"/>
      <c r="L9" s="154"/>
      <c r="Y9" s="4"/>
      <c r="Z9" s="4"/>
      <c r="AA9" s="4"/>
    </row>
    <row r="10">
      <c r="A10" s="40" t="s">
        <v>104</v>
      </c>
      <c r="B10" s="2"/>
      <c r="C10" s="2"/>
      <c r="D10" s="2"/>
      <c r="E10" s="2"/>
      <c r="F10" s="2"/>
      <c r="G10" s="2"/>
      <c r="H10" s="148" t="s">
        <v>105</v>
      </c>
      <c r="I10" s="158"/>
      <c r="J10" s="149" t="s">
        <v>94</v>
      </c>
      <c r="K10" s="159" t="s">
        <v>106</v>
      </c>
      <c r="L10" s="151" t="s">
        <v>96</v>
      </c>
      <c r="Y10" s="4"/>
      <c r="Z10" s="4"/>
      <c r="AA10" s="4"/>
    </row>
    <row r="11">
      <c r="A11" s="2"/>
      <c r="B11" s="2"/>
      <c r="C11" s="2"/>
      <c r="D11" s="2"/>
      <c r="E11" s="147"/>
      <c r="F11" s="2"/>
      <c r="G11" s="2"/>
      <c r="H11" s="147"/>
      <c r="I11" s="2"/>
      <c r="J11" s="154" t="s">
        <v>107</v>
      </c>
      <c r="K11" s="153"/>
      <c r="L11" s="154" t="s">
        <v>108</v>
      </c>
      <c r="Y11" s="4"/>
      <c r="Z11" s="4"/>
      <c r="AA11" s="4"/>
    </row>
    <row r="12">
      <c r="A12" s="2"/>
      <c r="B12" s="2"/>
      <c r="C12" s="2"/>
      <c r="D12" s="2"/>
      <c r="E12" s="147"/>
      <c r="F12" s="2"/>
      <c r="G12" s="2"/>
      <c r="H12" s="147"/>
      <c r="I12" s="2"/>
      <c r="J12" s="154"/>
      <c r="K12" s="153"/>
      <c r="L12" s="154"/>
      <c r="Y12" s="4"/>
      <c r="Z12" s="4"/>
      <c r="AA12" s="4"/>
    </row>
    <row r="13">
      <c r="A13" s="55" t="s">
        <v>109</v>
      </c>
      <c r="B13" s="4"/>
      <c r="C13" s="4"/>
      <c r="D13" s="4"/>
      <c r="E13" s="160"/>
      <c r="F13" s="4"/>
      <c r="G13" s="55" t="s">
        <v>110</v>
      </c>
      <c r="H13" s="160"/>
      <c r="I13" s="4"/>
      <c r="J13" s="55" t="s">
        <v>110</v>
      </c>
      <c r="K13" s="161"/>
      <c r="Y13" s="4"/>
      <c r="Z13" s="4"/>
      <c r="AA13" s="4"/>
    </row>
    <row r="14">
      <c r="A14" s="55"/>
      <c r="B14" s="4"/>
      <c r="C14" s="4"/>
      <c r="D14" s="4"/>
      <c r="E14" s="4"/>
      <c r="F14" s="4"/>
      <c r="G14" s="4"/>
      <c r="H14" s="4"/>
      <c r="I14" s="4"/>
      <c r="K14" s="161"/>
      <c r="Y14" s="4"/>
      <c r="Z14" s="4"/>
      <c r="AA14" s="4"/>
    </row>
    <row r="15">
      <c r="B15" s="4"/>
      <c r="C15" s="4"/>
      <c r="D15" s="4"/>
      <c r="E15" s="4"/>
      <c r="F15" s="4"/>
      <c r="G15" s="4"/>
      <c r="H15" s="4"/>
      <c r="I15" s="4"/>
      <c r="J15" s="4"/>
      <c r="K15" s="162"/>
      <c r="L15" s="4"/>
      <c r="Y15" s="4"/>
      <c r="Z15" s="4"/>
      <c r="AA15" s="4"/>
    </row>
    <row r="16">
      <c r="B16" s="4"/>
      <c r="C16" s="4"/>
      <c r="D16" s="4"/>
      <c r="E16" s="4"/>
      <c r="F16" s="4"/>
      <c r="G16" s="4"/>
      <c r="H16" s="4"/>
      <c r="I16" s="4"/>
      <c r="J16" s="4"/>
      <c r="K16" s="162"/>
      <c r="L16" s="4"/>
      <c r="Y16" s="4"/>
      <c r="Z16" s="4"/>
      <c r="AA16" s="4"/>
    </row>
    <row r="17">
      <c r="A17" s="163" t="s">
        <v>111</v>
      </c>
      <c r="B17" s="160"/>
      <c r="C17" s="163" t="s">
        <v>112</v>
      </c>
      <c r="D17" s="160"/>
      <c r="E17" s="160"/>
      <c r="F17" s="163" t="s">
        <v>113</v>
      </c>
      <c r="G17" s="160"/>
      <c r="H17" s="160"/>
      <c r="I17" s="160"/>
      <c r="J17" s="160"/>
      <c r="K17" s="164"/>
      <c r="L17" s="160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0"/>
      <c r="Z17" s="160"/>
      <c r="AA17" s="160"/>
    </row>
    <row r="18">
      <c r="A18" s="55" t="s">
        <v>114</v>
      </c>
      <c r="B18" s="4"/>
      <c r="C18" s="1" t="s">
        <v>115</v>
      </c>
      <c r="D18" s="4"/>
      <c r="E18" s="4"/>
      <c r="F18" s="126"/>
      <c r="G18" s="126"/>
      <c r="H18" s="128" t="s">
        <v>45</v>
      </c>
      <c r="I18" s="128" t="s">
        <v>48</v>
      </c>
      <c r="J18" s="128" t="s">
        <v>57</v>
      </c>
      <c r="K18" s="128" t="s">
        <v>58</v>
      </c>
      <c r="L18" s="4"/>
      <c r="Y18" s="4"/>
      <c r="Z18" s="4"/>
      <c r="AA18" s="4"/>
    </row>
    <row r="19">
      <c r="A19" s="55" t="s">
        <v>116</v>
      </c>
      <c r="B19" s="4"/>
      <c r="C19" s="1" t="s">
        <v>117</v>
      </c>
      <c r="D19" s="4"/>
      <c r="E19" s="4"/>
      <c r="F19" s="126"/>
      <c r="G19" s="126"/>
      <c r="H19" s="128" t="s">
        <v>39</v>
      </c>
      <c r="I19" s="126"/>
      <c r="J19" s="128" t="s">
        <v>60</v>
      </c>
      <c r="K19" s="126"/>
      <c r="L19" s="4"/>
      <c r="Y19" s="4"/>
      <c r="Z19" s="4"/>
      <c r="AA19" s="4"/>
    </row>
    <row r="20">
      <c r="A20" s="55" t="s">
        <v>118</v>
      </c>
      <c r="B20" s="4"/>
      <c r="C20" s="1" t="s">
        <v>119</v>
      </c>
      <c r="D20" s="4"/>
      <c r="E20" s="4"/>
      <c r="F20" s="126"/>
      <c r="G20" s="126"/>
      <c r="H20" s="126"/>
      <c r="I20" s="126"/>
      <c r="J20" s="126"/>
      <c r="K20" s="126"/>
      <c r="L20" s="4"/>
      <c r="Y20" s="4"/>
      <c r="Z20" s="4"/>
      <c r="AA20" s="4"/>
    </row>
    <row r="21">
      <c r="A21" s="55" t="s">
        <v>120</v>
      </c>
      <c r="B21" s="4"/>
      <c r="C21" s="1" t="s">
        <v>121</v>
      </c>
      <c r="D21" s="4"/>
      <c r="E21" s="4"/>
      <c r="F21" s="128" t="s">
        <v>63</v>
      </c>
      <c r="G21" s="126"/>
      <c r="H21" s="126"/>
      <c r="I21" s="126"/>
      <c r="J21" s="126"/>
      <c r="K21" s="126"/>
      <c r="L21" s="4"/>
      <c r="Y21" s="4"/>
      <c r="Z21" s="4"/>
      <c r="AA21" s="4"/>
    </row>
    <row r="22">
      <c r="A22" s="55" t="s">
        <v>122</v>
      </c>
      <c r="B22" s="4"/>
      <c r="C22" s="1" t="s">
        <v>123</v>
      </c>
      <c r="D22" s="4"/>
      <c r="E22" s="4"/>
      <c r="F22" s="26"/>
      <c r="G22" s="125" t="s">
        <v>124</v>
      </c>
      <c r="H22" s="26"/>
      <c r="I22" s="26"/>
      <c r="J22" s="26"/>
      <c r="K22" s="126"/>
      <c r="L22" s="4"/>
      <c r="Y22" s="4"/>
      <c r="Z22" s="4"/>
      <c r="AA22" s="4"/>
    </row>
    <row r="23">
      <c r="A23" s="55" t="s">
        <v>125</v>
      </c>
      <c r="B23" s="4"/>
      <c r="C23" s="1" t="s">
        <v>126</v>
      </c>
      <c r="D23" s="4"/>
      <c r="E23" s="4"/>
      <c r="F23" s="4"/>
      <c r="G23" s="4"/>
      <c r="H23" s="4"/>
      <c r="I23" s="4"/>
      <c r="J23" s="4"/>
      <c r="K23" s="162"/>
      <c r="L23" s="4"/>
      <c r="Y23" s="4"/>
      <c r="Z23" s="4"/>
      <c r="AA23" s="4"/>
    </row>
    <row r="24">
      <c r="A24" s="4"/>
      <c r="B24" s="4"/>
      <c r="C24" s="1" t="s">
        <v>127</v>
      </c>
      <c r="D24" s="4"/>
      <c r="E24" s="4"/>
      <c r="F24" s="4"/>
      <c r="G24" s="4"/>
      <c r="H24" s="4"/>
      <c r="I24" s="4"/>
      <c r="J24" s="4"/>
      <c r="K24" s="162"/>
      <c r="L24" s="4"/>
      <c r="Y24" s="4"/>
      <c r="Z24" s="4"/>
      <c r="AA24" s="4"/>
    </row>
    <row r="25">
      <c r="A25" s="55" t="s">
        <v>128</v>
      </c>
      <c r="B25" s="4"/>
      <c r="C25" s="1" t="s">
        <v>129</v>
      </c>
      <c r="D25" s="4"/>
      <c r="E25" s="4"/>
      <c r="F25" s="4"/>
      <c r="G25" s="4"/>
      <c r="H25" s="4"/>
      <c r="I25" s="4"/>
      <c r="J25" s="4"/>
      <c r="K25" s="162"/>
      <c r="L25" s="4"/>
      <c r="Y25" s="4"/>
      <c r="Z25" s="4"/>
      <c r="AA25" s="4"/>
    </row>
    <row r="26">
      <c r="A26" s="55" t="s">
        <v>119</v>
      </c>
      <c r="B26" s="4"/>
      <c r="C26" s="1" t="s">
        <v>130</v>
      </c>
      <c r="D26" s="4"/>
      <c r="E26" s="4"/>
      <c r="F26" s="4"/>
      <c r="G26" s="4"/>
      <c r="H26" s="4"/>
      <c r="I26" s="4"/>
      <c r="J26" s="4"/>
      <c r="K26" s="162"/>
      <c r="L26" s="4"/>
      <c r="Y26" s="4"/>
      <c r="Z26" s="4"/>
      <c r="AA26" s="4"/>
    </row>
    <row r="27">
      <c r="A27" s="55" t="s">
        <v>131</v>
      </c>
      <c r="B27" s="4"/>
      <c r="C27" s="1" t="s">
        <v>132</v>
      </c>
      <c r="D27" s="4"/>
      <c r="E27" s="4"/>
      <c r="F27" s="4"/>
      <c r="G27" s="4"/>
      <c r="H27" s="4"/>
      <c r="I27" s="4"/>
      <c r="J27" s="4"/>
      <c r="K27" s="162"/>
      <c r="L27" s="4"/>
      <c r="Y27" s="4"/>
      <c r="Z27" s="4"/>
      <c r="AA27" s="4"/>
    </row>
    <row r="28">
      <c r="A28" s="55" t="s">
        <v>133</v>
      </c>
      <c r="B28" s="4"/>
      <c r="C28" s="1" t="s">
        <v>134</v>
      </c>
      <c r="D28" s="4"/>
      <c r="E28" s="4"/>
      <c r="F28" s="4"/>
      <c r="G28" s="4"/>
      <c r="H28" s="4"/>
      <c r="I28" s="4"/>
      <c r="J28" s="4"/>
      <c r="K28" s="162"/>
      <c r="L28" s="4"/>
      <c r="Y28" s="4"/>
      <c r="Z28" s="4"/>
      <c r="AA28" s="4"/>
    </row>
    <row r="29">
      <c r="A29" s="55" t="s">
        <v>135</v>
      </c>
      <c r="B29" s="4"/>
      <c r="C29" s="1" t="s">
        <v>136</v>
      </c>
      <c r="D29" s="4"/>
      <c r="E29" s="4"/>
      <c r="F29" s="4"/>
      <c r="G29" s="4"/>
      <c r="H29" s="4"/>
      <c r="I29" s="4"/>
      <c r="J29" s="4"/>
      <c r="K29" s="162"/>
      <c r="L29" s="4"/>
      <c r="Y29" s="4"/>
      <c r="Z29" s="4"/>
      <c r="AA29" s="4"/>
    </row>
    <row r="30">
      <c r="A30" s="55" t="s">
        <v>137</v>
      </c>
      <c r="B30" s="4"/>
      <c r="C30" s="4"/>
      <c r="D30" s="4"/>
      <c r="E30" s="4"/>
      <c r="F30" s="4"/>
      <c r="G30" s="4"/>
      <c r="H30" s="4"/>
      <c r="I30" s="4"/>
      <c r="J30" s="4"/>
      <c r="K30" s="162"/>
      <c r="L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62"/>
      <c r="L31" s="4"/>
      <c r="Y31" s="4"/>
      <c r="Z31" s="4"/>
      <c r="AA31" s="4"/>
    </row>
    <row r="32">
      <c r="A32" s="55" t="s">
        <v>117</v>
      </c>
      <c r="B32" s="4"/>
      <c r="C32" s="4"/>
      <c r="D32" s="4"/>
      <c r="E32" s="4"/>
      <c r="F32" s="4"/>
      <c r="G32" s="4"/>
      <c r="H32" s="4"/>
      <c r="I32" s="4"/>
      <c r="J32" s="4"/>
      <c r="K32" s="162"/>
      <c r="L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162"/>
      <c r="L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162"/>
      <c r="L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162"/>
      <c r="L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162"/>
      <c r="L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162"/>
      <c r="L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162"/>
      <c r="L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162"/>
      <c r="L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162"/>
      <c r="L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62"/>
      <c r="L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162"/>
      <c r="L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162"/>
      <c r="L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162"/>
      <c r="L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162"/>
      <c r="L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162"/>
      <c r="L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162"/>
      <c r="L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162"/>
      <c r="L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162"/>
      <c r="L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162"/>
      <c r="L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162"/>
      <c r="L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162"/>
      <c r="L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162"/>
      <c r="L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162"/>
      <c r="L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162"/>
      <c r="L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162"/>
      <c r="L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162"/>
      <c r="L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162"/>
      <c r="L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162"/>
      <c r="L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162"/>
      <c r="L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162"/>
      <c r="L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162"/>
      <c r="L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162"/>
      <c r="L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162"/>
      <c r="L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162"/>
      <c r="L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162"/>
      <c r="L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162"/>
      <c r="L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162"/>
      <c r="L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162"/>
      <c r="L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162"/>
      <c r="L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162"/>
      <c r="L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162"/>
      <c r="L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162"/>
      <c r="L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162"/>
      <c r="L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162"/>
      <c r="L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162"/>
      <c r="L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162"/>
      <c r="L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162"/>
      <c r="L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162"/>
      <c r="L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162"/>
      <c r="L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162"/>
      <c r="L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162"/>
      <c r="L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162"/>
      <c r="L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162"/>
      <c r="L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162"/>
      <c r="L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162"/>
      <c r="L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162"/>
      <c r="L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162"/>
      <c r="L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162"/>
      <c r="L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162"/>
      <c r="L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162"/>
      <c r="L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162"/>
      <c r="L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162"/>
      <c r="L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162"/>
      <c r="L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162"/>
      <c r="L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162"/>
      <c r="L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162"/>
      <c r="L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162"/>
      <c r="L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162"/>
      <c r="L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162"/>
      <c r="L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162"/>
      <c r="L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162"/>
      <c r="L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162"/>
      <c r="L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162"/>
      <c r="L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162"/>
      <c r="L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162"/>
      <c r="L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162"/>
      <c r="L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162"/>
      <c r="L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162"/>
      <c r="L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162"/>
      <c r="L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162"/>
      <c r="L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162"/>
      <c r="L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162"/>
      <c r="L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162"/>
      <c r="L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162"/>
      <c r="L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162"/>
      <c r="L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162"/>
      <c r="L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162"/>
      <c r="L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162"/>
      <c r="L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162"/>
      <c r="L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162"/>
      <c r="L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162"/>
      <c r="L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162"/>
      <c r="L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162"/>
      <c r="L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162"/>
      <c r="L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162"/>
      <c r="L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162"/>
      <c r="L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162"/>
      <c r="L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162"/>
      <c r="L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162"/>
      <c r="L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162"/>
      <c r="L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162"/>
      <c r="L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162"/>
      <c r="L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162"/>
      <c r="L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162"/>
      <c r="L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162"/>
      <c r="L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162"/>
      <c r="L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162"/>
      <c r="L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162"/>
      <c r="L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162"/>
      <c r="L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162"/>
      <c r="L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162"/>
      <c r="L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162"/>
      <c r="L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162"/>
      <c r="L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162"/>
      <c r="L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162"/>
      <c r="L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162"/>
      <c r="L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162"/>
      <c r="L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162"/>
      <c r="L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162"/>
      <c r="L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162"/>
      <c r="L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162"/>
      <c r="L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162"/>
      <c r="L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162"/>
      <c r="L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162"/>
      <c r="L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162"/>
      <c r="L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162"/>
      <c r="L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162"/>
      <c r="L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162"/>
      <c r="L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162"/>
      <c r="L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162"/>
      <c r="L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162"/>
      <c r="L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162"/>
      <c r="L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162"/>
      <c r="L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162"/>
      <c r="L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162"/>
      <c r="L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162"/>
      <c r="L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162"/>
      <c r="L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162"/>
      <c r="L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162"/>
      <c r="L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162"/>
      <c r="L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162"/>
      <c r="L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162"/>
      <c r="L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162"/>
      <c r="L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162"/>
      <c r="L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162"/>
      <c r="L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162"/>
      <c r="L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162"/>
      <c r="L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162"/>
      <c r="L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162"/>
      <c r="L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162"/>
      <c r="L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162"/>
      <c r="L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162"/>
      <c r="L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162"/>
      <c r="L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162"/>
      <c r="L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162"/>
      <c r="L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162"/>
      <c r="L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162"/>
      <c r="L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162"/>
      <c r="L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162"/>
      <c r="L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162"/>
      <c r="L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162"/>
      <c r="L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162"/>
      <c r="L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162"/>
      <c r="L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162"/>
      <c r="L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162"/>
      <c r="L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162"/>
      <c r="L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62"/>
      <c r="L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162"/>
      <c r="L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162"/>
      <c r="L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162"/>
      <c r="L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162"/>
      <c r="L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162"/>
      <c r="L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162"/>
      <c r="L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162"/>
      <c r="L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162"/>
      <c r="L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162"/>
      <c r="L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162"/>
      <c r="L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162"/>
      <c r="L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162"/>
      <c r="L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162"/>
      <c r="L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162"/>
      <c r="L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162"/>
      <c r="L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162"/>
      <c r="L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162"/>
      <c r="L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162"/>
      <c r="L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162"/>
      <c r="L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162"/>
      <c r="L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162"/>
      <c r="L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162"/>
      <c r="L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162"/>
      <c r="L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162"/>
      <c r="L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162"/>
      <c r="L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162"/>
      <c r="L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162"/>
      <c r="L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162"/>
      <c r="L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162"/>
      <c r="L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162"/>
      <c r="L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162"/>
      <c r="L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162"/>
      <c r="L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162"/>
      <c r="L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162"/>
      <c r="L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162"/>
      <c r="L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162"/>
      <c r="L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162"/>
      <c r="L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162"/>
      <c r="L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162"/>
      <c r="L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162"/>
      <c r="L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162"/>
      <c r="L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162"/>
      <c r="L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162"/>
      <c r="L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162"/>
      <c r="L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162"/>
      <c r="L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162"/>
      <c r="L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162"/>
      <c r="L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162"/>
      <c r="L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162"/>
      <c r="L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162"/>
      <c r="L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162"/>
      <c r="L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162"/>
      <c r="L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162"/>
      <c r="L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162"/>
      <c r="L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162"/>
      <c r="L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162"/>
      <c r="L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162"/>
      <c r="L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162"/>
      <c r="L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162"/>
      <c r="L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162"/>
      <c r="L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162"/>
      <c r="L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162"/>
      <c r="L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162"/>
      <c r="L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162"/>
      <c r="L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162"/>
      <c r="L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162"/>
      <c r="L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162"/>
      <c r="L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162"/>
      <c r="L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162"/>
      <c r="L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162"/>
      <c r="L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162"/>
      <c r="L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162"/>
      <c r="L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162"/>
      <c r="L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162"/>
      <c r="L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162"/>
      <c r="L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162"/>
      <c r="L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162"/>
      <c r="L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162"/>
      <c r="L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162"/>
      <c r="L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162"/>
      <c r="L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162"/>
      <c r="L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162"/>
      <c r="L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162"/>
      <c r="L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162"/>
      <c r="L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162"/>
      <c r="L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162"/>
      <c r="L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162"/>
      <c r="L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162"/>
      <c r="L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162"/>
      <c r="L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162"/>
      <c r="L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162"/>
      <c r="L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162"/>
      <c r="L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162"/>
      <c r="L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162"/>
      <c r="L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162"/>
      <c r="L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162"/>
      <c r="L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162"/>
      <c r="L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162"/>
      <c r="L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162"/>
      <c r="L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162"/>
      <c r="L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162"/>
      <c r="L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162"/>
      <c r="L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162"/>
      <c r="L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162"/>
      <c r="L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162"/>
      <c r="L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162"/>
      <c r="L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162"/>
      <c r="L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162"/>
      <c r="L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162"/>
      <c r="L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162"/>
      <c r="L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162"/>
      <c r="L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162"/>
      <c r="L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162"/>
      <c r="L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162"/>
      <c r="L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162"/>
      <c r="L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162"/>
      <c r="L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162"/>
      <c r="L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162"/>
      <c r="L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162"/>
      <c r="L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162"/>
      <c r="L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162"/>
      <c r="L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162"/>
      <c r="L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162"/>
      <c r="L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162"/>
      <c r="L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162"/>
      <c r="L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162"/>
      <c r="L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162"/>
      <c r="L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162"/>
      <c r="L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162"/>
      <c r="L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162"/>
      <c r="L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162"/>
      <c r="L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162"/>
      <c r="L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162"/>
      <c r="L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162"/>
      <c r="L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162"/>
      <c r="L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162"/>
      <c r="L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162"/>
      <c r="L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162"/>
      <c r="L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162"/>
      <c r="L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162"/>
      <c r="L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162"/>
      <c r="L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162"/>
      <c r="L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162"/>
      <c r="L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162"/>
      <c r="L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162"/>
      <c r="L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162"/>
      <c r="L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162"/>
      <c r="L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162"/>
      <c r="L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162"/>
      <c r="L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162"/>
      <c r="L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162"/>
      <c r="L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162"/>
      <c r="L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162"/>
      <c r="L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162"/>
      <c r="L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162"/>
      <c r="L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162"/>
      <c r="L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162"/>
      <c r="L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162"/>
      <c r="L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162"/>
      <c r="L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162"/>
      <c r="L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162"/>
      <c r="L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162"/>
      <c r="L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162"/>
      <c r="L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162"/>
      <c r="L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162"/>
      <c r="L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162"/>
      <c r="L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162"/>
      <c r="L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162"/>
      <c r="L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162"/>
      <c r="L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162"/>
      <c r="L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62"/>
      <c r="L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62"/>
      <c r="L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162"/>
      <c r="L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162"/>
      <c r="L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62"/>
      <c r="L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162"/>
      <c r="L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162"/>
      <c r="L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162"/>
      <c r="L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162"/>
      <c r="L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162"/>
      <c r="L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162"/>
      <c r="L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162"/>
      <c r="L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162"/>
      <c r="L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162"/>
      <c r="L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162"/>
      <c r="L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162"/>
      <c r="L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162"/>
      <c r="L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162"/>
      <c r="L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162"/>
      <c r="L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162"/>
      <c r="L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162"/>
      <c r="L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162"/>
      <c r="L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162"/>
      <c r="L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162"/>
      <c r="L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162"/>
      <c r="L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162"/>
      <c r="L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162"/>
      <c r="L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162"/>
      <c r="L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162"/>
      <c r="L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162"/>
      <c r="L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162"/>
      <c r="L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162"/>
      <c r="L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162"/>
      <c r="L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162"/>
      <c r="L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162"/>
      <c r="L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162"/>
      <c r="L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162"/>
      <c r="L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162"/>
      <c r="L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162"/>
      <c r="L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162"/>
      <c r="L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162"/>
      <c r="L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162"/>
      <c r="L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162"/>
      <c r="L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162"/>
      <c r="L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162"/>
      <c r="L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162"/>
      <c r="L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162"/>
      <c r="L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162"/>
      <c r="L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162"/>
      <c r="L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162"/>
      <c r="L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162"/>
      <c r="L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162"/>
      <c r="L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162"/>
      <c r="L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162"/>
      <c r="L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162"/>
      <c r="L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162"/>
      <c r="L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162"/>
      <c r="L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162"/>
      <c r="L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162"/>
      <c r="L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162"/>
      <c r="L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162"/>
      <c r="L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162"/>
      <c r="L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162"/>
      <c r="L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162"/>
      <c r="L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162"/>
      <c r="L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162"/>
      <c r="L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162"/>
      <c r="L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162"/>
      <c r="L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162"/>
      <c r="L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162"/>
      <c r="L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162"/>
      <c r="L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162"/>
      <c r="L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162"/>
      <c r="L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162"/>
      <c r="L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162"/>
      <c r="L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162"/>
      <c r="L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162"/>
      <c r="L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162"/>
      <c r="L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162"/>
      <c r="L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162"/>
      <c r="L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162"/>
      <c r="L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162"/>
      <c r="L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162"/>
      <c r="L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162"/>
      <c r="L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162"/>
      <c r="L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162"/>
      <c r="L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162"/>
      <c r="L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162"/>
      <c r="L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162"/>
      <c r="L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162"/>
      <c r="L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162"/>
      <c r="L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162"/>
      <c r="L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162"/>
      <c r="L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162"/>
      <c r="L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162"/>
      <c r="L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162"/>
      <c r="L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162"/>
      <c r="L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162"/>
      <c r="L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162"/>
      <c r="L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162"/>
      <c r="L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162"/>
      <c r="L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162"/>
      <c r="L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162"/>
      <c r="L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162"/>
      <c r="L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162"/>
      <c r="L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162"/>
      <c r="L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162"/>
      <c r="L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162"/>
      <c r="L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162"/>
      <c r="L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162"/>
      <c r="L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162"/>
      <c r="L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162"/>
      <c r="L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162"/>
      <c r="L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162"/>
      <c r="L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162"/>
      <c r="L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162"/>
      <c r="L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162"/>
      <c r="L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162"/>
      <c r="L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162"/>
      <c r="L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162"/>
      <c r="L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162"/>
      <c r="L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162"/>
      <c r="L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162"/>
      <c r="L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162"/>
      <c r="L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162"/>
      <c r="L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162"/>
      <c r="L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162"/>
      <c r="L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162"/>
      <c r="L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162"/>
      <c r="L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162"/>
      <c r="L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162"/>
      <c r="L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162"/>
      <c r="L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162"/>
      <c r="L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162"/>
      <c r="L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162"/>
      <c r="L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162"/>
      <c r="L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162"/>
      <c r="L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162"/>
      <c r="L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162"/>
      <c r="L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162"/>
      <c r="L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162"/>
      <c r="L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162"/>
      <c r="L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162"/>
      <c r="L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162"/>
      <c r="L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162"/>
      <c r="L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162"/>
      <c r="L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162"/>
      <c r="L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162"/>
      <c r="L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162"/>
      <c r="L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162"/>
      <c r="L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162"/>
      <c r="L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162"/>
      <c r="L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162"/>
      <c r="L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162"/>
      <c r="L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162"/>
      <c r="L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162"/>
      <c r="L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162"/>
      <c r="L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162"/>
      <c r="L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162"/>
      <c r="L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162"/>
      <c r="L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162"/>
      <c r="L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162"/>
      <c r="L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162"/>
      <c r="L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162"/>
      <c r="L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162"/>
      <c r="L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162"/>
      <c r="L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162"/>
      <c r="L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162"/>
      <c r="L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162"/>
      <c r="L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162"/>
      <c r="L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162"/>
      <c r="L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162"/>
      <c r="L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162"/>
      <c r="L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162"/>
      <c r="L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162"/>
      <c r="L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162"/>
      <c r="L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162"/>
      <c r="L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162"/>
      <c r="L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162"/>
      <c r="L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162"/>
      <c r="L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162"/>
      <c r="L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162"/>
      <c r="L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162"/>
      <c r="L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162"/>
      <c r="L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162"/>
      <c r="L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162"/>
      <c r="L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162"/>
      <c r="L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162"/>
      <c r="L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162"/>
      <c r="L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162"/>
      <c r="L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162"/>
      <c r="L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162"/>
      <c r="L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162"/>
      <c r="L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162"/>
      <c r="L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162"/>
      <c r="L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162"/>
      <c r="L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162"/>
      <c r="L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162"/>
      <c r="L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162"/>
      <c r="L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162"/>
      <c r="L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162"/>
      <c r="L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162"/>
      <c r="L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162"/>
      <c r="L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162"/>
      <c r="L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162"/>
      <c r="L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162"/>
      <c r="L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162"/>
      <c r="L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162"/>
      <c r="L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162"/>
      <c r="L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162"/>
      <c r="L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162"/>
      <c r="L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162"/>
      <c r="L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162"/>
      <c r="L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162"/>
      <c r="L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162"/>
      <c r="L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162"/>
      <c r="L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162"/>
      <c r="L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162"/>
      <c r="L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162"/>
      <c r="L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162"/>
      <c r="L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162"/>
      <c r="L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162"/>
      <c r="L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162"/>
      <c r="L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162"/>
      <c r="L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162"/>
      <c r="L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162"/>
      <c r="L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162"/>
      <c r="L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162"/>
      <c r="L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162"/>
      <c r="L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162"/>
      <c r="L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162"/>
      <c r="L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162"/>
      <c r="L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162"/>
      <c r="L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162"/>
      <c r="L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162"/>
      <c r="L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162"/>
      <c r="L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62"/>
      <c r="L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62"/>
      <c r="L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162"/>
      <c r="L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162"/>
      <c r="L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162"/>
      <c r="L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162"/>
      <c r="L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162"/>
      <c r="L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162"/>
      <c r="L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162"/>
      <c r="L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162"/>
      <c r="L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162"/>
      <c r="L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162"/>
      <c r="L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162"/>
      <c r="L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162"/>
      <c r="L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162"/>
      <c r="L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162"/>
      <c r="L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162"/>
      <c r="L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162"/>
      <c r="L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162"/>
      <c r="L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162"/>
      <c r="L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162"/>
      <c r="L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162"/>
      <c r="L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162"/>
      <c r="L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162"/>
      <c r="L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162"/>
      <c r="L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162"/>
      <c r="L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162"/>
      <c r="L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162"/>
      <c r="L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162"/>
      <c r="L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162"/>
      <c r="L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162"/>
      <c r="L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162"/>
      <c r="L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162"/>
      <c r="L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162"/>
      <c r="L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162"/>
      <c r="L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162"/>
      <c r="L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62"/>
      <c r="L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62"/>
      <c r="L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62"/>
      <c r="L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62"/>
      <c r="L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62"/>
      <c r="L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62"/>
      <c r="L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62"/>
      <c r="L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62"/>
      <c r="L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62"/>
      <c r="L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62"/>
      <c r="L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62"/>
      <c r="L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62"/>
      <c r="L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62"/>
      <c r="L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62"/>
      <c r="L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62"/>
      <c r="L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62"/>
      <c r="L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62"/>
      <c r="L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62"/>
      <c r="L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62"/>
      <c r="L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62"/>
      <c r="L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62"/>
      <c r="L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62"/>
      <c r="L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62"/>
      <c r="L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62"/>
      <c r="L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62"/>
      <c r="L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62"/>
      <c r="L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62"/>
      <c r="L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62"/>
      <c r="L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62"/>
      <c r="L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62"/>
      <c r="L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62"/>
      <c r="L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62"/>
      <c r="L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62"/>
      <c r="L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62"/>
      <c r="L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62"/>
      <c r="L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62"/>
      <c r="L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62"/>
      <c r="L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62"/>
      <c r="L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62"/>
      <c r="L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62"/>
      <c r="L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62"/>
      <c r="L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62"/>
      <c r="L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62"/>
      <c r="L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62"/>
      <c r="L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62"/>
      <c r="L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62"/>
      <c r="L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62"/>
      <c r="L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62"/>
      <c r="L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62"/>
      <c r="L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62"/>
      <c r="L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62"/>
      <c r="L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62"/>
      <c r="L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62"/>
      <c r="L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62"/>
      <c r="L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62"/>
      <c r="L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62"/>
      <c r="L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62"/>
      <c r="L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62"/>
      <c r="L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62"/>
      <c r="L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62"/>
      <c r="L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62"/>
      <c r="L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62"/>
      <c r="L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62"/>
      <c r="L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62"/>
      <c r="L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62"/>
      <c r="L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62"/>
      <c r="L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62"/>
      <c r="L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62"/>
      <c r="L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62"/>
      <c r="L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62"/>
      <c r="L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62"/>
      <c r="L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62"/>
      <c r="L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62"/>
      <c r="L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62"/>
      <c r="L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62"/>
      <c r="L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62"/>
      <c r="L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62"/>
      <c r="L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62"/>
      <c r="L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62"/>
      <c r="L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62"/>
      <c r="L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62"/>
      <c r="L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62"/>
      <c r="L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62"/>
      <c r="L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62"/>
      <c r="L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62"/>
      <c r="L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62"/>
      <c r="L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62"/>
      <c r="L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62"/>
      <c r="L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62"/>
      <c r="L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62"/>
      <c r="L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62"/>
      <c r="L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62"/>
      <c r="L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62"/>
      <c r="L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62"/>
      <c r="L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62"/>
      <c r="L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62"/>
      <c r="L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62"/>
      <c r="L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62"/>
      <c r="L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62"/>
      <c r="L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62"/>
      <c r="L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62"/>
      <c r="L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62"/>
      <c r="L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62"/>
      <c r="L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62"/>
      <c r="L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62"/>
      <c r="L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62"/>
      <c r="L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62"/>
      <c r="L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62"/>
      <c r="L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62"/>
      <c r="L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62"/>
      <c r="L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62"/>
      <c r="L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62"/>
      <c r="L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62"/>
      <c r="L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62"/>
      <c r="L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62"/>
      <c r="L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62"/>
      <c r="L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62"/>
      <c r="L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62"/>
      <c r="L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62"/>
      <c r="L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62"/>
      <c r="L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62"/>
      <c r="L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62"/>
      <c r="L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62"/>
      <c r="L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62"/>
      <c r="L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62"/>
      <c r="L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62"/>
      <c r="L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62"/>
      <c r="L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62"/>
      <c r="L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62"/>
      <c r="L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62"/>
      <c r="L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62"/>
      <c r="L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62"/>
      <c r="L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62"/>
      <c r="L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62"/>
      <c r="L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62"/>
      <c r="L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62"/>
      <c r="L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62"/>
      <c r="L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62"/>
      <c r="L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62"/>
      <c r="L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62"/>
      <c r="L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62"/>
      <c r="L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62"/>
      <c r="L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62"/>
      <c r="L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62"/>
      <c r="L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62"/>
      <c r="L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62"/>
      <c r="L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62"/>
      <c r="L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62"/>
      <c r="L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62"/>
      <c r="L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62"/>
      <c r="L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62"/>
      <c r="L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62"/>
      <c r="L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62"/>
      <c r="L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62"/>
      <c r="L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62"/>
      <c r="L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62"/>
      <c r="L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62"/>
      <c r="L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62"/>
      <c r="L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62"/>
      <c r="L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62"/>
      <c r="L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62"/>
      <c r="L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62"/>
      <c r="L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62"/>
      <c r="L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62"/>
      <c r="L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62"/>
      <c r="L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62"/>
      <c r="L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62"/>
      <c r="L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62"/>
      <c r="L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62"/>
      <c r="L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62"/>
      <c r="L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62"/>
      <c r="L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62"/>
      <c r="L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62"/>
      <c r="L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62"/>
      <c r="L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62"/>
      <c r="L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62"/>
      <c r="L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62"/>
      <c r="L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62"/>
      <c r="L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62"/>
      <c r="L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62"/>
      <c r="L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62"/>
      <c r="L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62"/>
      <c r="L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62"/>
      <c r="L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62"/>
      <c r="L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62"/>
      <c r="L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62"/>
      <c r="L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62"/>
      <c r="L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62"/>
      <c r="L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62"/>
      <c r="L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62"/>
      <c r="L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62"/>
      <c r="L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62"/>
      <c r="L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62"/>
      <c r="L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62"/>
      <c r="L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62"/>
      <c r="L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62"/>
      <c r="L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62"/>
      <c r="L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62"/>
      <c r="L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62"/>
      <c r="L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62"/>
      <c r="L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62"/>
      <c r="L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62"/>
      <c r="L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62"/>
      <c r="L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62"/>
      <c r="L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62"/>
      <c r="L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62"/>
      <c r="L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62"/>
      <c r="L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62"/>
      <c r="L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62"/>
      <c r="L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62"/>
      <c r="L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62"/>
      <c r="L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62"/>
      <c r="L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62"/>
      <c r="L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62"/>
      <c r="L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62"/>
      <c r="L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62"/>
      <c r="L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62"/>
      <c r="L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62"/>
      <c r="L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62"/>
      <c r="L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62"/>
      <c r="L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62"/>
      <c r="L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62"/>
      <c r="L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62"/>
      <c r="L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62"/>
      <c r="L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62"/>
      <c r="L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62"/>
      <c r="L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62"/>
      <c r="L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62"/>
      <c r="L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62"/>
      <c r="L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62"/>
      <c r="L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62"/>
      <c r="L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62"/>
      <c r="L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62"/>
      <c r="L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62"/>
      <c r="L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62"/>
      <c r="L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62"/>
      <c r="L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62"/>
      <c r="L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62"/>
      <c r="L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62"/>
      <c r="L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62"/>
      <c r="L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62"/>
      <c r="L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62"/>
      <c r="L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62"/>
      <c r="L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62"/>
      <c r="L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62"/>
      <c r="L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62"/>
      <c r="L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62"/>
      <c r="L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62"/>
      <c r="L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62"/>
      <c r="L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62"/>
      <c r="L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62"/>
      <c r="L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62"/>
      <c r="L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62"/>
      <c r="L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62"/>
      <c r="L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62"/>
      <c r="L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62"/>
      <c r="L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62"/>
      <c r="L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62"/>
      <c r="L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62"/>
      <c r="L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62"/>
      <c r="L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62"/>
      <c r="L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62"/>
      <c r="L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62"/>
      <c r="L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62"/>
      <c r="L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62"/>
      <c r="L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62"/>
      <c r="L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62"/>
      <c r="L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62"/>
      <c r="L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62"/>
      <c r="L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62"/>
      <c r="L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62"/>
      <c r="L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62"/>
      <c r="L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62"/>
      <c r="L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62"/>
      <c r="L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62"/>
      <c r="L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62"/>
      <c r="L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62"/>
      <c r="L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62"/>
      <c r="L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62"/>
      <c r="L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62"/>
      <c r="L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62"/>
      <c r="L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62"/>
      <c r="L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62"/>
      <c r="L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62"/>
      <c r="L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62"/>
      <c r="L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62"/>
      <c r="L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62"/>
      <c r="L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62"/>
      <c r="L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62"/>
      <c r="L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62"/>
      <c r="L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62"/>
      <c r="L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62"/>
      <c r="L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62"/>
      <c r="L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62"/>
      <c r="L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62"/>
      <c r="L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62"/>
      <c r="L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62"/>
      <c r="L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62"/>
      <c r="L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62"/>
      <c r="L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62"/>
      <c r="L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62"/>
      <c r="L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62"/>
      <c r="L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62"/>
      <c r="L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62"/>
      <c r="L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62"/>
      <c r="L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62"/>
      <c r="L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62"/>
      <c r="L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62"/>
      <c r="L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62"/>
      <c r="L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62"/>
      <c r="L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62"/>
      <c r="L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62"/>
      <c r="L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62"/>
      <c r="L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62"/>
      <c r="L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62"/>
      <c r="L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62"/>
      <c r="L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62"/>
      <c r="L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62"/>
      <c r="L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62"/>
      <c r="L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62"/>
      <c r="L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62"/>
      <c r="L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62"/>
      <c r="L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62"/>
      <c r="L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62"/>
      <c r="L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62"/>
      <c r="L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62"/>
      <c r="L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62"/>
      <c r="L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62"/>
      <c r="L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62"/>
      <c r="L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62"/>
      <c r="L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62"/>
      <c r="L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62"/>
      <c r="L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62"/>
      <c r="L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62"/>
      <c r="L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62"/>
      <c r="L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62"/>
      <c r="L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62"/>
      <c r="L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62"/>
      <c r="L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62"/>
      <c r="L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62"/>
      <c r="L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62"/>
      <c r="L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62"/>
      <c r="L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62"/>
      <c r="L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62"/>
      <c r="L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62"/>
      <c r="L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62"/>
      <c r="L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62"/>
      <c r="L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62"/>
      <c r="L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62"/>
      <c r="L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62"/>
      <c r="L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62"/>
      <c r="L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62"/>
      <c r="L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162"/>
      <c r="L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162"/>
      <c r="L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162"/>
      <c r="L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162"/>
      <c r="L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162"/>
      <c r="L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162"/>
      <c r="L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162"/>
      <c r="L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162"/>
      <c r="L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162"/>
      <c r="L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162"/>
      <c r="L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162"/>
      <c r="L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162"/>
      <c r="L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162"/>
      <c r="L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162"/>
      <c r="L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162"/>
      <c r="L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162"/>
      <c r="L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162"/>
      <c r="L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162"/>
      <c r="L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162"/>
      <c r="L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162"/>
      <c r="L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162"/>
      <c r="L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162"/>
      <c r="L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162"/>
      <c r="L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162"/>
      <c r="L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162"/>
      <c r="L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162"/>
      <c r="L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162"/>
      <c r="L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162"/>
      <c r="L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AAAAA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0"/>
    <col customWidth="1" min="2" max="4" width="17.43"/>
    <col customWidth="1" min="5" max="5" width="14.86"/>
    <col customWidth="1" min="6" max="6" width="41.29"/>
    <col customWidth="1" min="7" max="7" width="21.71"/>
    <col customWidth="1" min="8" max="8" width="41.0"/>
    <col customWidth="1" min="9" max="9" width="21.71"/>
    <col customWidth="1" min="10" max="10" width="9.14"/>
    <col customWidth="1" min="11" max="26" width="8.86"/>
  </cols>
  <sheetData>
    <row r="1" ht="18.75" customHeight="1">
      <c r="A1" s="166" t="s">
        <v>138</v>
      </c>
      <c r="B1" s="167" t="s">
        <v>139</v>
      </c>
      <c r="C1" s="167" t="s">
        <v>5</v>
      </c>
      <c r="D1" s="167" t="s">
        <v>140</v>
      </c>
      <c r="E1" s="168" t="s">
        <v>141</v>
      </c>
      <c r="F1" s="169" t="s">
        <v>142</v>
      </c>
      <c r="G1" s="168" t="s">
        <v>143</v>
      </c>
      <c r="H1" s="169" t="s">
        <v>144</v>
      </c>
      <c r="I1" s="168" t="s">
        <v>145</v>
      </c>
      <c r="J1" s="17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71"/>
      <c r="B2" s="172">
        <v>0.1</v>
      </c>
      <c r="C2" s="173">
        <v>0.05</v>
      </c>
      <c r="D2" s="174">
        <v>0.08</v>
      </c>
      <c r="E2" s="175"/>
      <c r="F2" s="176">
        <v>0.08</v>
      </c>
      <c r="G2" s="177"/>
      <c r="H2" s="176">
        <v>0.15</v>
      </c>
      <c r="I2" s="178"/>
      <c r="J2" s="179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80"/>
      <c r="B3" s="181"/>
      <c r="C3" s="26"/>
      <c r="D3" s="182"/>
      <c r="E3" s="175"/>
      <c r="F3" s="183"/>
      <c r="G3" s="184"/>
      <c r="H3" s="183"/>
      <c r="I3" s="185"/>
      <c r="J3" s="17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86" t="s">
        <v>146</v>
      </c>
      <c r="B4" s="187">
        <f t="shared" ref="B4:D4" si="1">B2*(B5/100)</f>
        <v>0.02</v>
      </c>
      <c r="C4" s="188">
        <f t="shared" si="1"/>
        <v>0.03</v>
      </c>
      <c r="D4" s="189">
        <f t="shared" si="1"/>
        <v>0.016</v>
      </c>
      <c r="E4" s="175">
        <f>B4+C4+D4</f>
        <v>0.066</v>
      </c>
      <c r="F4" s="190">
        <f>F2*(F5/100)</f>
        <v>0.008</v>
      </c>
      <c r="G4" s="191">
        <f>B2*0.1+C4+D4+F4</f>
        <v>0.064</v>
      </c>
      <c r="H4" s="190">
        <f>H2*(H5/100)</f>
        <v>0.015</v>
      </c>
      <c r="I4" s="192">
        <f>B4+C2*0.5+D4+H4</f>
        <v>0.076</v>
      </c>
      <c r="J4" s="17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93"/>
      <c r="B5" s="181">
        <v>20.0</v>
      </c>
      <c r="C5" s="26">
        <v>60.0</v>
      </c>
      <c r="D5" s="182">
        <v>20.0</v>
      </c>
      <c r="E5" s="175"/>
      <c r="F5" s="183">
        <f>B5*0.5</f>
        <v>10</v>
      </c>
      <c r="G5" s="184"/>
      <c r="H5" s="183">
        <f>D5*0.5</f>
        <v>10</v>
      </c>
      <c r="I5" s="185"/>
      <c r="J5" s="179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93"/>
      <c r="B6" s="181"/>
      <c r="C6" s="26"/>
      <c r="D6" s="182"/>
      <c r="E6" s="175"/>
      <c r="F6" s="183"/>
      <c r="G6" s="184"/>
      <c r="H6" s="183"/>
      <c r="I6" s="185"/>
      <c r="J6" s="179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86" t="s">
        <v>12</v>
      </c>
      <c r="B7" s="187">
        <f t="shared" ref="B7:D7" si="2">B2*(B8/100)</f>
        <v>0.04</v>
      </c>
      <c r="C7" s="194">
        <f t="shared" si="2"/>
        <v>0.02</v>
      </c>
      <c r="D7" s="189">
        <f t="shared" si="2"/>
        <v>0.016</v>
      </c>
      <c r="E7" s="175">
        <f>B7+C7+D7</f>
        <v>0.076</v>
      </c>
      <c r="F7" s="190">
        <f>F2*(F8/100)</f>
        <v>0.016</v>
      </c>
      <c r="G7" s="191">
        <f>B2*0.2+C7+D7+F7</f>
        <v>0.072</v>
      </c>
      <c r="H7" s="190">
        <f>H2*(H8/100)</f>
        <v>0.03</v>
      </c>
      <c r="I7" s="192">
        <f>B7+C2*0.2+D7+H7</f>
        <v>0.096</v>
      </c>
      <c r="J7" s="179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93"/>
      <c r="B8" s="181">
        <v>40.0</v>
      </c>
      <c r="C8" s="26">
        <v>40.0</v>
      </c>
      <c r="D8" s="182">
        <v>20.0</v>
      </c>
      <c r="E8" s="175"/>
      <c r="F8" s="183">
        <f>B8*0.5</f>
        <v>20</v>
      </c>
      <c r="G8" s="184"/>
      <c r="H8" s="183">
        <v>20.0</v>
      </c>
      <c r="I8" s="185"/>
      <c r="J8" s="17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3"/>
      <c r="B9" s="181"/>
      <c r="C9" s="26"/>
      <c r="D9" s="182"/>
      <c r="E9" s="175"/>
      <c r="F9" s="183"/>
      <c r="G9" s="184"/>
      <c r="H9" s="183"/>
      <c r="I9" s="185"/>
      <c r="J9" s="17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86" t="s">
        <v>147</v>
      </c>
      <c r="B10" s="187">
        <f t="shared" ref="B10:D10" si="3">B2*(B11/100)</f>
        <v>0.06</v>
      </c>
      <c r="C10" s="194">
        <f t="shared" si="3"/>
        <v>0.01</v>
      </c>
      <c r="D10" s="189">
        <f t="shared" si="3"/>
        <v>0.016</v>
      </c>
      <c r="E10" s="175">
        <f>B10+C10+D10</f>
        <v>0.086</v>
      </c>
      <c r="F10" s="190">
        <f>F2*(F11/100)</f>
        <v>0.024</v>
      </c>
      <c r="G10" s="191">
        <f>B2*0.3+C10+D10+F10</f>
        <v>0.08</v>
      </c>
      <c r="H10" s="190">
        <f>H2*(H11/100)</f>
        <v>0.045</v>
      </c>
      <c r="I10" s="195">
        <f>B10+C2*0+D2*0.1+H10</f>
        <v>0.113</v>
      </c>
      <c r="J10" s="179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93"/>
      <c r="B11" s="196">
        <v>60.0</v>
      </c>
      <c r="C11" s="197">
        <v>20.0</v>
      </c>
      <c r="D11" s="198">
        <v>20.0</v>
      </c>
      <c r="E11" s="175"/>
      <c r="F11" s="199">
        <f>B11*0.5</f>
        <v>30</v>
      </c>
      <c r="G11" s="184"/>
      <c r="H11" s="199">
        <v>30.0</v>
      </c>
      <c r="I11" s="185"/>
      <c r="J11" s="179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80"/>
      <c r="B12" s="200" t="s">
        <v>148</v>
      </c>
      <c r="C12" s="200" t="s">
        <v>148</v>
      </c>
      <c r="D12" s="200" t="s">
        <v>148</v>
      </c>
      <c r="E12" s="201"/>
      <c r="F12" s="200" t="s">
        <v>148</v>
      </c>
      <c r="G12" s="201"/>
      <c r="H12" s="200" t="s">
        <v>148</v>
      </c>
      <c r="I12" s="201"/>
      <c r="J12" s="179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80"/>
      <c r="B13" s="200" t="s">
        <v>149</v>
      </c>
      <c r="C13" s="200" t="s">
        <v>149</v>
      </c>
      <c r="D13" s="200" t="s">
        <v>149</v>
      </c>
      <c r="E13" s="201"/>
      <c r="F13" s="200" t="s">
        <v>149</v>
      </c>
      <c r="G13" s="201"/>
      <c r="H13" s="200" t="s">
        <v>149</v>
      </c>
      <c r="I13" s="201"/>
      <c r="J13" s="179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80"/>
      <c r="B14" s="201"/>
      <c r="C14" s="201"/>
      <c r="D14" s="201"/>
      <c r="E14" s="201"/>
      <c r="F14" s="201"/>
      <c r="G14" s="201"/>
      <c r="H14" s="201"/>
      <c r="I14" s="201"/>
      <c r="J14" s="179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0"/>
      <c r="B15" s="201"/>
      <c r="C15" s="201"/>
      <c r="D15" s="201"/>
      <c r="E15" s="201"/>
      <c r="F15" s="200" t="s">
        <v>150</v>
      </c>
      <c r="G15" s="201"/>
      <c r="H15" s="200" t="s">
        <v>151</v>
      </c>
      <c r="I15" s="201"/>
      <c r="J15" s="179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0"/>
      <c r="B16" s="200" t="s">
        <v>152</v>
      </c>
      <c r="C16" s="200" t="s">
        <v>153</v>
      </c>
      <c r="D16" s="200" t="s">
        <v>154</v>
      </c>
      <c r="E16" s="201"/>
      <c r="F16" s="201"/>
      <c r="G16" s="201"/>
      <c r="H16" s="201"/>
      <c r="I16" s="201"/>
      <c r="J16" s="179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80"/>
      <c r="B17" s="201"/>
      <c r="C17" s="201"/>
      <c r="D17" s="201"/>
      <c r="E17" s="201"/>
      <c r="F17" s="200" t="s">
        <v>155</v>
      </c>
      <c r="G17" s="201"/>
      <c r="H17" s="200" t="s">
        <v>156</v>
      </c>
      <c r="I17" s="201"/>
      <c r="J17" s="179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0"/>
      <c r="B18" s="201"/>
      <c r="C18" s="201"/>
      <c r="D18" s="201"/>
      <c r="E18" s="201"/>
      <c r="F18" s="200" t="s">
        <v>157</v>
      </c>
      <c r="G18" s="201"/>
      <c r="H18" s="200" t="s">
        <v>158</v>
      </c>
      <c r="I18" s="201"/>
      <c r="J18" s="17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80"/>
      <c r="B19" s="202"/>
      <c r="C19" s="202"/>
      <c r="D19" s="202"/>
      <c r="E19" s="202"/>
      <c r="F19" s="202"/>
      <c r="G19" s="202"/>
      <c r="H19" s="202"/>
      <c r="I19" s="202"/>
      <c r="J19" s="179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0"/>
      <c r="B20" s="202"/>
      <c r="C20" s="202"/>
      <c r="D20" s="202"/>
      <c r="E20" s="202"/>
      <c r="F20" s="202"/>
      <c r="G20" s="202"/>
      <c r="H20" s="202"/>
      <c r="I20" s="202"/>
      <c r="J20" s="179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80"/>
      <c r="B21" s="203" t="s">
        <v>159</v>
      </c>
      <c r="C21" s="202"/>
      <c r="D21" s="202"/>
      <c r="E21" s="202"/>
      <c r="F21" s="202"/>
      <c r="G21" s="202"/>
      <c r="H21" s="202"/>
      <c r="I21" s="202"/>
      <c r="J21" s="179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80"/>
      <c r="B22" s="204" t="s">
        <v>139</v>
      </c>
      <c r="C22" s="204" t="s">
        <v>5</v>
      </c>
      <c r="D22" s="204" t="s">
        <v>140</v>
      </c>
      <c r="E22" s="205" t="s">
        <v>160</v>
      </c>
      <c r="F22" s="202"/>
      <c r="G22" s="202"/>
      <c r="H22" s="202"/>
      <c r="I22" s="202"/>
      <c r="J22" s="179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80"/>
      <c r="B23" s="206">
        <v>0.05</v>
      </c>
      <c r="C23" s="173">
        <v>0.08</v>
      </c>
      <c r="D23" s="207">
        <v>0.05</v>
      </c>
      <c r="E23" s="184"/>
      <c r="F23" s="202"/>
      <c r="G23" s="202"/>
      <c r="H23" s="202"/>
      <c r="I23" s="202"/>
      <c r="J23" s="179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80"/>
      <c r="B24" s="181"/>
      <c r="C24" s="26"/>
      <c r="D24" s="182"/>
      <c r="E24" s="184"/>
      <c r="F24" s="202"/>
      <c r="G24" s="202"/>
      <c r="H24" s="202"/>
      <c r="I24" s="202"/>
      <c r="J24" s="179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86" t="s">
        <v>146</v>
      </c>
      <c r="B25" s="187">
        <f t="shared" ref="B25:D25" si="4">B23*(B26/100)</f>
        <v>0.005</v>
      </c>
      <c r="C25" s="208">
        <f t="shared" si="4"/>
        <v>0.056</v>
      </c>
      <c r="D25" s="189">
        <f t="shared" si="4"/>
        <v>0.01</v>
      </c>
      <c r="E25" s="184">
        <f>B25+C25+D25</f>
        <v>0.071</v>
      </c>
      <c r="F25" s="202"/>
      <c r="G25" s="202"/>
      <c r="H25" s="202"/>
      <c r="I25" s="202"/>
      <c r="J25" s="17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93"/>
      <c r="B26" s="181">
        <v>10.0</v>
      </c>
      <c r="C26" s="26">
        <v>70.0</v>
      </c>
      <c r="D26" s="182">
        <v>20.0</v>
      </c>
      <c r="E26" s="184"/>
      <c r="F26" s="202"/>
      <c r="G26" s="202"/>
      <c r="H26" s="202"/>
      <c r="I26" s="202"/>
      <c r="J26" s="17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93"/>
      <c r="B27" s="181"/>
      <c r="C27" s="26"/>
      <c r="D27" s="182"/>
      <c r="E27" s="184"/>
      <c r="F27" s="202"/>
      <c r="G27" s="202"/>
      <c r="H27" s="202"/>
      <c r="I27" s="202"/>
      <c r="J27" s="17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86" t="s">
        <v>12</v>
      </c>
      <c r="B28" s="187">
        <f t="shared" ref="B28:D28" si="5">B23*(B29/100)</f>
        <v>0.01</v>
      </c>
      <c r="C28" s="194">
        <f t="shared" si="5"/>
        <v>0.048</v>
      </c>
      <c r="D28" s="189">
        <f t="shared" si="5"/>
        <v>0.01</v>
      </c>
      <c r="E28" s="184">
        <f>B28+C28+D28</f>
        <v>0.068</v>
      </c>
      <c r="F28" s="202"/>
      <c r="G28" s="202"/>
      <c r="H28" s="202"/>
      <c r="I28" s="202"/>
      <c r="J28" s="17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93"/>
      <c r="B29" s="181">
        <v>20.0</v>
      </c>
      <c r="C29" s="26">
        <v>60.0</v>
      </c>
      <c r="D29" s="182">
        <v>20.0</v>
      </c>
      <c r="E29" s="184"/>
      <c r="F29" s="202"/>
      <c r="G29" s="202"/>
      <c r="H29" s="202"/>
      <c r="I29" s="202"/>
      <c r="J29" s="179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93"/>
      <c r="B30" s="181"/>
      <c r="C30" s="26"/>
      <c r="D30" s="182"/>
      <c r="E30" s="184"/>
      <c r="F30" s="202"/>
      <c r="G30" s="202"/>
      <c r="H30" s="202"/>
      <c r="I30" s="202"/>
      <c r="J30" s="17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86" t="s">
        <v>147</v>
      </c>
      <c r="B31" s="187">
        <f t="shared" ref="B31:D31" si="6">B23*(B32/100)</f>
        <v>0.015</v>
      </c>
      <c r="C31" s="194">
        <f t="shared" si="6"/>
        <v>0.04</v>
      </c>
      <c r="D31" s="189">
        <f t="shared" si="6"/>
        <v>0.01</v>
      </c>
      <c r="E31" s="184">
        <f>B31+C31+D31</f>
        <v>0.065</v>
      </c>
      <c r="F31" s="202"/>
      <c r="G31" s="202"/>
      <c r="H31" s="202"/>
      <c r="I31" s="202"/>
      <c r="J31" s="17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93"/>
      <c r="B32" s="196">
        <v>30.0</v>
      </c>
      <c r="C32" s="197">
        <v>50.0</v>
      </c>
      <c r="D32" s="198">
        <v>20.0</v>
      </c>
      <c r="E32" s="184"/>
      <c r="F32" s="202"/>
      <c r="G32" s="202"/>
      <c r="H32" s="202"/>
      <c r="I32" s="202"/>
      <c r="J32" s="179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80"/>
      <c r="B33" s="202"/>
      <c r="C33" s="202"/>
      <c r="D33" s="202"/>
      <c r="E33" s="202"/>
      <c r="F33" s="202"/>
      <c r="G33" s="202"/>
      <c r="H33" s="202"/>
      <c r="I33" s="202"/>
      <c r="J33" s="179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0"/>
      <c r="B34" s="202"/>
      <c r="C34" s="202"/>
      <c r="D34" s="202"/>
      <c r="E34" s="202"/>
      <c r="F34" s="202"/>
      <c r="G34" s="202"/>
      <c r="H34" s="202"/>
      <c r="I34" s="202"/>
      <c r="J34" s="179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0"/>
      <c r="B35" s="202"/>
      <c r="C35" s="202"/>
      <c r="D35" s="202"/>
      <c r="E35" s="202"/>
      <c r="F35" s="202"/>
      <c r="G35" s="202"/>
      <c r="H35" s="202"/>
      <c r="I35" s="202"/>
      <c r="J35" s="179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0"/>
      <c r="B36" s="202"/>
      <c r="C36" s="202"/>
      <c r="D36" s="202"/>
      <c r="E36" s="202"/>
      <c r="F36" s="202"/>
      <c r="G36" s="202"/>
      <c r="H36" s="202"/>
      <c r="I36" s="202"/>
      <c r="J36" s="179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80"/>
      <c r="B37" s="203" t="s">
        <v>161</v>
      </c>
      <c r="C37" s="202"/>
      <c r="D37" s="202"/>
      <c r="E37" s="202"/>
      <c r="F37" s="202"/>
      <c r="G37" s="202"/>
      <c r="H37" s="202"/>
      <c r="I37" s="202"/>
      <c r="J37" s="179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80"/>
      <c r="B38" s="204" t="s">
        <v>139</v>
      </c>
      <c r="C38" s="204" t="s">
        <v>5</v>
      </c>
      <c r="D38" s="204" t="s">
        <v>140</v>
      </c>
      <c r="E38" s="205" t="s">
        <v>162</v>
      </c>
      <c r="F38" s="202"/>
      <c r="G38" s="202"/>
      <c r="H38" s="202"/>
      <c r="I38" s="202"/>
      <c r="J38" s="17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80"/>
      <c r="B39" s="206">
        <v>0.15</v>
      </c>
      <c r="C39" s="209">
        <v>0.05</v>
      </c>
      <c r="D39" s="174">
        <v>0.08</v>
      </c>
      <c r="E39" s="210"/>
      <c r="F39" s="202"/>
      <c r="G39" s="202"/>
      <c r="H39" s="202"/>
      <c r="I39" s="202"/>
      <c r="J39" s="179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80"/>
      <c r="B40" s="181"/>
      <c r="C40" s="26"/>
      <c r="D40" s="182"/>
      <c r="E40" s="210"/>
      <c r="F40" s="202"/>
      <c r="G40" s="202"/>
      <c r="H40" s="202"/>
      <c r="I40" s="202"/>
      <c r="J40" s="179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86" t="s">
        <v>146</v>
      </c>
      <c r="B41" s="187">
        <f t="shared" ref="B41:D41" si="7">B39*(B42/100)</f>
        <v>0.045</v>
      </c>
      <c r="C41" s="208">
        <f t="shared" si="7"/>
        <v>0.025</v>
      </c>
      <c r="D41" s="189">
        <f t="shared" si="7"/>
        <v>0.016</v>
      </c>
      <c r="E41" s="210">
        <f>B41+C41+D41</f>
        <v>0.086</v>
      </c>
      <c r="F41" s="202"/>
      <c r="G41" s="202"/>
      <c r="H41" s="202"/>
      <c r="I41" s="202"/>
      <c r="J41" s="179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93"/>
      <c r="B42" s="181">
        <v>30.0</v>
      </c>
      <c r="C42" s="26">
        <v>50.0</v>
      </c>
      <c r="D42" s="182">
        <v>20.0</v>
      </c>
      <c r="E42" s="210"/>
      <c r="F42" s="202"/>
      <c r="G42" s="202"/>
      <c r="H42" s="202"/>
      <c r="I42" s="202"/>
      <c r="J42" s="179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93"/>
      <c r="B43" s="181"/>
      <c r="C43" s="26"/>
      <c r="D43" s="182"/>
      <c r="E43" s="210"/>
      <c r="F43" s="202"/>
      <c r="G43" s="202"/>
      <c r="H43" s="202"/>
      <c r="I43" s="202"/>
      <c r="J43" s="179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86" t="s">
        <v>12</v>
      </c>
      <c r="B44" s="187">
        <f t="shared" ref="B44:D44" si="8">B39*(B45/100)</f>
        <v>0.09</v>
      </c>
      <c r="C44" s="194">
        <f t="shared" si="8"/>
        <v>0.01</v>
      </c>
      <c r="D44" s="189">
        <f t="shared" si="8"/>
        <v>0.016</v>
      </c>
      <c r="E44" s="210">
        <f>B44+C44+D44</f>
        <v>0.116</v>
      </c>
      <c r="F44" s="202"/>
      <c r="G44" s="202"/>
      <c r="H44" s="202"/>
      <c r="I44" s="202"/>
      <c r="J44" s="179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93"/>
      <c r="B45" s="181">
        <v>60.0</v>
      </c>
      <c r="C45" s="26">
        <v>20.0</v>
      </c>
      <c r="D45" s="182">
        <v>20.0</v>
      </c>
      <c r="E45" s="210"/>
      <c r="F45" s="202"/>
      <c r="G45" s="202"/>
      <c r="H45" s="202"/>
      <c r="I45" s="202"/>
      <c r="J45" s="179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93"/>
      <c r="B46" s="181"/>
      <c r="C46" s="26"/>
      <c r="D46" s="182"/>
      <c r="E46" s="210"/>
      <c r="F46" s="202"/>
      <c r="G46" s="202"/>
      <c r="H46" s="202"/>
      <c r="I46" s="202"/>
      <c r="J46" s="179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6" t="s">
        <v>147</v>
      </c>
      <c r="B47" s="187">
        <f t="shared" ref="B47:D47" si="9">B39*(B48/100)</f>
        <v>0.135</v>
      </c>
      <c r="C47" s="194">
        <f t="shared" si="9"/>
        <v>0</v>
      </c>
      <c r="D47" s="189">
        <f t="shared" si="9"/>
        <v>0.008</v>
      </c>
      <c r="E47" s="210">
        <f>B47+C47+D47</f>
        <v>0.143</v>
      </c>
      <c r="F47" s="202"/>
      <c r="G47" s="202"/>
      <c r="H47" s="202"/>
      <c r="I47" s="202"/>
      <c r="J47" s="179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93"/>
      <c r="B48" s="196">
        <v>90.0</v>
      </c>
      <c r="C48" s="197">
        <v>0.0</v>
      </c>
      <c r="D48" s="198">
        <v>10.0</v>
      </c>
      <c r="E48" s="210"/>
      <c r="F48" s="202"/>
      <c r="G48" s="202"/>
      <c r="H48" s="202"/>
      <c r="I48" s="202"/>
      <c r="J48" s="179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0"/>
      <c r="B49" s="202"/>
      <c r="C49" s="202"/>
      <c r="D49" s="202"/>
      <c r="E49" s="202"/>
      <c r="F49" s="202"/>
      <c r="G49" s="202"/>
      <c r="H49" s="202"/>
      <c r="I49" s="202"/>
      <c r="J49" s="17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80"/>
      <c r="B50" s="202"/>
      <c r="C50" s="202"/>
      <c r="D50" s="202"/>
      <c r="E50" s="202"/>
      <c r="F50" s="202"/>
      <c r="G50" s="202"/>
      <c r="H50" s="202"/>
      <c r="I50" s="202"/>
      <c r="J50" s="17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80"/>
      <c r="B51" s="202"/>
      <c r="C51" s="202"/>
      <c r="D51" s="202"/>
      <c r="E51" s="202"/>
      <c r="F51" s="202"/>
      <c r="G51" s="202"/>
      <c r="H51" s="202"/>
      <c r="I51" s="202"/>
      <c r="J51" s="179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80"/>
      <c r="B52" s="202"/>
      <c r="C52" s="202"/>
      <c r="D52" s="202"/>
      <c r="E52" s="202"/>
      <c r="F52" s="202"/>
      <c r="G52" s="202"/>
      <c r="H52" s="202"/>
      <c r="I52" s="202"/>
      <c r="J52" s="179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80"/>
      <c r="B53" s="202"/>
      <c r="C53" s="202"/>
      <c r="D53" s="202"/>
      <c r="E53" s="202"/>
      <c r="F53" s="202"/>
      <c r="G53" s="202"/>
      <c r="H53" s="202"/>
      <c r="I53" s="202"/>
      <c r="J53" s="179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80"/>
      <c r="B54" s="202"/>
      <c r="C54" s="202"/>
      <c r="D54" s="202"/>
      <c r="E54" s="202"/>
      <c r="F54" s="202"/>
      <c r="G54" s="202"/>
      <c r="H54" s="202"/>
      <c r="I54" s="202"/>
      <c r="J54" s="179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80"/>
      <c r="B55" s="202"/>
      <c r="C55" s="202"/>
      <c r="D55" s="202"/>
      <c r="E55" s="202"/>
      <c r="F55" s="202"/>
      <c r="G55" s="202"/>
      <c r="H55" s="202"/>
      <c r="I55" s="202"/>
      <c r="J55" s="179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80"/>
      <c r="B56" s="202"/>
      <c r="C56" s="202"/>
      <c r="D56" s="202"/>
      <c r="E56" s="202"/>
      <c r="F56" s="202"/>
      <c r="G56" s="202"/>
      <c r="H56" s="202"/>
      <c r="I56" s="202"/>
      <c r="J56" s="179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80"/>
      <c r="B57" s="202"/>
      <c r="C57" s="202"/>
      <c r="D57" s="202"/>
      <c r="E57" s="202"/>
      <c r="F57" s="202"/>
      <c r="G57" s="202"/>
      <c r="H57" s="202"/>
      <c r="I57" s="202"/>
      <c r="J57" s="179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80"/>
      <c r="B58" s="202"/>
      <c r="C58" s="202"/>
      <c r="D58" s="202"/>
      <c r="E58" s="202"/>
      <c r="F58" s="202"/>
      <c r="G58" s="202"/>
      <c r="H58" s="202"/>
      <c r="I58" s="202"/>
      <c r="J58" s="179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80"/>
      <c r="B59" s="202"/>
      <c r="C59" s="202"/>
      <c r="D59" s="202"/>
      <c r="E59" s="202"/>
      <c r="F59" s="202"/>
      <c r="G59" s="202"/>
      <c r="H59" s="202"/>
      <c r="I59" s="202"/>
      <c r="J59" s="179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11"/>
      <c r="B60" s="212"/>
      <c r="C60" s="212"/>
      <c r="D60" s="212"/>
      <c r="E60" s="212"/>
      <c r="F60" s="212"/>
      <c r="G60" s="212"/>
      <c r="H60" s="212"/>
      <c r="I60" s="212"/>
      <c r="J60" s="21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