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Metadata" sheetId="2" r:id="rId5"/>
    <sheet state="visible" name="US by Season" sheetId="3" r:id="rId6"/>
    <sheet state="visible" name="CO by Season" sheetId="4" r:id="rId7"/>
    <sheet state="visible" name="By State" sheetId="5" r:id="rId8"/>
    <sheet state="visible" name="By Activity" sheetId="6" r:id="rId9"/>
    <sheet state="visible" name="By Month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<sst xmlns="http://schemas.openxmlformats.org/spreadsheetml/2006/main" count="5001" uniqueCount="1105">
  <si>
    <t>AvyYear</t>
  </si>
  <si>
    <t>YYYY</t>
  </si>
  <si>
    <t>MM</t>
  </si>
  <si>
    <t>DD</t>
  </si>
  <si>
    <t>Location</t>
  </si>
  <si>
    <t>Trigger</t>
  </si>
  <si>
    <t>D Size</t>
  </si>
  <si>
    <t>Setting</t>
  </si>
  <si>
    <t>State</t>
  </si>
  <si>
    <t>lat</t>
  </si>
  <si>
    <t>lon</t>
  </si>
  <si>
    <t>PrimaryActivity</t>
  </si>
  <si>
    <t>TravelMode</t>
  </si>
  <si>
    <t>Killed</t>
  </si>
  <si>
    <t>Description</t>
  </si>
  <si>
    <t>Date</t>
  </si>
  <si>
    <t>Split Mountain, southwest of Big Pine</t>
  </si>
  <si>
    <t>BC</t>
  </si>
  <si>
    <t>CA</t>
  </si>
  <si>
    <t>Hiker</t>
  </si>
  <si>
    <t>Foot</t>
  </si>
  <si>
    <t>3 hikers caught, 2 injured, 1 killed</t>
  </si>
  <si>
    <t>Hurd Peak, southwest of Bishop</t>
  </si>
  <si>
    <t>N</t>
  </si>
  <si>
    <t>Backcountry Tourer</t>
  </si>
  <si>
    <t>Ski</t>
  </si>
  <si>
    <t>2 backcountry tourers caught, 1 killed</t>
  </si>
  <si>
    <t>West Ridge of the Moose's Tooth</t>
  </si>
  <si>
    <t>AK</t>
  </si>
  <si>
    <t>Climber</t>
  </si>
  <si>
    <t>2 climbers caught, killed</t>
  </si>
  <si>
    <t>Denali National Park, near Jenny Creek</t>
  </si>
  <si>
    <t>1 backcountry skier caught and killed</t>
  </si>
  <si>
    <t>Bald Mountain, southeast of Breckenridge</t>
  </si>
  <si>
    <t>AS</t>
  </si>
  <si>
    <t>CO</t>
  </si>
  <si>
    <t>1 backcountry tourer caught, buried, and killed</t>
  </si>
  <si>
    <t>Big Cottonwood Creek, east of Sandy</t>
  </si>
  <si>
    <t>U</t>
  </si>
  <si>
    <t>TN</t>
  </si>
  <si>
    <t>UT</t>
  </si>
  <si>
    <t>Resident</t>
  </si>
  <si>
    <t>1 resident caught, partially buried-critical, and killed</t>
  </si>
  <si>
    <t>Pole Canyon, Oquirrh Moutains</t>
  </si>
  <si>
    <t>AM</t>
  </si>
  <si>
    <t>Snowmobiler</t>
  </si>
  <si>
    <t>Snowmobile</t>
  </si>
  <si>
    <t>1 snowmobiler caught, buried, and killed</t>
  </si>
  <si>
    <t>Trinity Lakes, east of Boise</t>
  </si>
  <si>
    <t>ID</t>
  </si>
  <si>
    <t>Maroon Bowl, north of Highland Peak</t>
  </si>
  <si>
    <t>Sidecountry Rider</t>
  </si>
  <si>
    <t>1 sidecountry rider caught, partially buried-critical, and killed</t>
  </si>
  <si>
    <t>Rapid Creek, southwest of Marble</t>
  </si>
  <si>
    <t>3 backcountry tourers caught, 2 injured, 1 buried and killed</t>
  </si>
  <si>
    <t>Purgatory Creek, north of Durango</t>
  </si>
  <si>
    <t>3 residents caught, buried, and 1 killed</t>
  </si>
  <si>
    <t>Paulina Peak, south of Bend</t>
  </si>
  <si>
    <t>AR</t>
  </si>
  <si>
    <t>OR</t>
  </si>
  <si>
    <t>Snowboard</t>
  </si>
  <si>
    <t>1 backcountry snowboarder killed</t>
  </si>
  <si>
    <t>Red Mountain, northeast of Lowman</t>
  </si>
  <si>
    <t>1 snowmobiler caught and killed</t>
  </si>
  <si>
    <t>Observation Peak, Stanley Lake Creek Drainage</t>
  </si>
  <si>
    <t>Upper Weber Canyon, southwest of Windy Ridge</t>
  </si>
  <si>
    <t>Mechanized Guided Client</t>
  </si>
  <si>
    <t>2 skiers caught and fully buried, 1 injured and 1 killed</t>
  </si>
  <si>
    <t>Black Crater, west of Sisters</t>
  </si>
  <si>
    <t>1 backcountry skier caught, partially buried-critical, and killed</t>
  </si>
  <si>
    <t>South of Vallecito Reservoir</t>
  </si>
  <si>
    <t>2 backcountry skiers caught, buried, and killed</t>
  </si>
  <si>
    <t>Red Lakes Trailhead, near La Manga Pass</t>
  </si>
  <si>
    <t>Poker Flats, Salt River Range</t>
  </si>
  <si>
    <t>WY</t>
  </si>
  <si>
    <t>Colchuck Peak, southwest of Leavenworth</t>
  </si>
  <si>
    <t>AF</t>
  </si>
  <si>
    <t>WA</t>
  </si>
  <si>
    <t>4 climbers caught, 3 killed, 1 injured</t>
  </si>
  <si>
    <t>Mummy Mountain, Spring Mountain National Recreation Area</t>
  </si>
  <si>
    <t>NV</t>
  </si>
  <si>
    <t>1 backcountry snowboarder, caught, partially buried-critical, and killed</t>
  </si>
  <si>
    <t>Pumphouse Lake, southwest of Rollins Pass</t>
  </si>
  <si>
    <t>2 snowmobilers caught, buried, and killed</t>
  </si>
  <si>
    <t>Crown Butte, north of Cooke City</t>
  </si>
  <si>
    <t>MT</t>
  </si>
  <si>
    <t>Number 5, Carter Gulch southwest of Breckenridge</t>
  </si>
  <si>
    <t>2 sidecountry riders caught, 1 partially buried-critical, 1 buried and killed</t>
  </si>
  <si>
    <t>Nitro Chute, north of Berthoud Pass</t>
  </si>
  <si>
    <t>4 backcountry tourers caught, 2 fully buried, and 1 killed</t>
  </si>
  <si>
    <t>Mount Meeker, Rocky Mountain National Park</t>
  </si>
  <si>
    <t>3 climbers caught, 1 partially buried, 1 injured, 1 buried and killed</t>
  </si>
  <si>
    <t>Ice Face, southeast of Thompson Pass, Chugach Mountains</t>
  </si>
  <si>
    <t>Mechanised Guide</t>
  </si>
  <si>
    <t>1 skier caught, carried over cliff, and killed</t>
  </si>
  <si>
    <t>North Fork of Fish Creek, near Steamboat Springs</t>
  </si>
  <si>
    <t>Pilot Knob, east of Lizard Head Pass</t>
  </si>
  <si>
    <t>1 backcountry snowboarder caught, buried, and killed</t>
  </si>
  <si>
    <t>Game Creek Drainage, east of Victor Idaho</t>
  </si>
  <si>
    <t>2 skiers caught, 2 fully buried, 1 injured, and 1 killed</t>
  </si>
  <si>
    <t>South Fork Miner Creek, Sierra Madre Mountains</t>
  </si>
  <si>
    <t>Yule Creek</t>
  </si>
  <si>
    <t>AI</t>
  </si>
  <si>
    <t>Snowshoe</t>
  </si>
  <si>
    <t>3 snowshoers caught, 2 partially buried, 1 buried and killed. 2 dogs killed</t>
  </si>
  <si>
    <t>Miller Mountain, North of Cook City</t>
  </si>
  <si>
    <t>AV</t>
  </si>
  <si>
    <t>Snowbike</t>
  </si>
  <si>
    <t>1 motorized snowbike rider caught, partially buried-critical, and killed</t>
  </si>
  <si>
    <t>Lionhead area near West Yellowstone</t>
  </si>
  <si>
    <t>1 snowmobiler caught, partially buried-critical, and killed</t>
  </si>
  <si>
    <t>North Star Mountain, Hoosier Pass</t>
  </si>
  <si>
    <t>2 snowshoers and a dog caught, buried, and killed</t>
  </si>
  <si>
    <t>Scotch Bonnet Mountain, north of Cooke City</t>
  </si>
  <si>
    <t>Diamond Peaks, Cameron Pass</t>
  </si>
  <si>
    <t>1 backcountry skier caught, fully buried, and killed</t>
  </si>
  <si>
    <t>Relay Ridge near Ryan Peak</t>
  </si>
  <si>
    <t>AU</t>
  </si>
  <si>
    <t>Hybrid Rider</t>
  </si>
  <si>
    <t>1 skier and 1 snowmobiler killed</t>
  </si>
  <si>
    <t>Silver Basin, closed portion of Crystal Mountain ski resort</t>
  </si>
  <si>
    <t>SA-closed terrain</t>
  </si>
  <si>
    <t>6 backcountry tourers caught, 2 partially buried, 4 buried, and 1 killed</t>
  </si>
  <si>
    <t>Ruth Glacier, Denali National Park and Preserve</t>
  </si>
  <si>
    <t>2 climbers caught in serac fall, 1 killed</t>
  </si>
  <si>
    <t>Matanuska Glacier</t>
  </si>
  <si>
    <t>Motorized Guided client</t>
  </si>
  <si>
    <t>1 heliskier killed</t>
  </si>
  <si>
    <t>Lime Creek south of Edwards</t>
  </si>
  <si>
    <t>1 sidecountry skier caught and killed</t>
  </si>
  <si>
    <t>Frog Lake Cliffs, north of Donner Pass</t>
  </si>
  <si>
    <t>Tiger Peak, north of Burke</t>
  </si>
  <si>
    <t>4 snowmobilers caught, 1 buried, 1 buried and killed</t>
  </si>
  <si>
    <t>Broken Thumb Couloir, Peak 9,975 (25 Short), Grand Teton National Park</t>
  </si>
  <si>
    <t>1 backcountry tourer caught and killed</t>
  </si>
  <si>
    <t>Near Sherman Peak, Southeast of Pocatello</t>
  </si>
  <si>
    <t>1 snowmobiler, caught, buried, and killed</t>
  </si>
  <si>
    <t>Near Castle Lake, Ruby Mountains, Southeast of Elko</t>
  </si>
  <si>
    <t>2 snowmobilers caught, 1 buried and killed, 1 injured</t>
  </si>
  <si>
    <t>Smiley Creek Drainage, Smoky Mountains</t>
  </si>
  <si>
    <t>One snowmobiler killed</t>
  </si>
  <si>
    <t>Togwotee Pass, WY</t>
  </si>
  <si>
    <t>1 snowboarder killed</t>
  </si>
  <si>
    <t>Squaw Creek Drainage, Southeast of Alpine, WY</t>
  </si>
  <si>
    <t>1 snowmobiler caught, buried and killed</t>
  </si>
  <si>
    <t>West of Ruby Mountain, southeast of Rand</t>
  </si>
  <si>
    <t>2 snowmobilers caught, 1 partially buried, 1 buried and killed</t>
  </si>
  <si>
    <t>Beehive Basin, north of Big Sky Montana</t>
  </si>
  <si>
    <t>2 splitboarders caught, 1 partially buried and killed</t>
  </si>
  <si>
    <t>Near Mount Trelease, north of Loveland Pass</t>
  </si>
  <si>
    <t>1 backcountry snowboarder caught, partially-buried critical, killed</t>
  </si>
  <si>
    <t>Knox Creek, Salmon la Sac area, near Cle Elum Lake</t>
  </si>
  <si>
    <t>2 snowbikers caught, 1 buried and killed</t>
  </si>
  <si>
    <t>Wilson Glade, Mill Creek Canyon</t>
  </si>
  <si>
    <t>7 backcountry tourers caught, 1 partially buried, 2 buried, 4 buried and killed</t>
  </si>
  <si>
    <t>Wounded Buck Creek, northwest of Wildcat Lake</t>
  </si>
  <si>
    <t>5 snowmobilers caught, 1 partially buried-critical and killed</t>
  </si>
  <si>
    <t>Marvin’s West, East Vail backcountry southeast of Vail</t>
  </si>
  <si>
    <t>2 sidecountry skiers caught, 1 buried and killed</t>
  </si>
  <si>
    <t>Etna Summit, west of Etna</t>
  </si>
  <si>
    <t>2 backcountry tourers caught, 1 partially buried, 1 buried and killed</t>
  </si>
  <si>
    <t>Bear Mountain, Chugach State Park</t>
  </si>
  <si>
    <t>3 climbers caught, buried, and killed</t>
  </si>
  <si>
    <t>The Nose, Middle Fork Mineral Creek southeast of Ophir</t>
  </si>
  <si>
    <t>4 backcountry skiers caught and buried, 3 killed</t>
  </si>
  <si>
    <t>Ammonoosuc Ravine, north of Mount Monroe</t>
  </si>
  <si>
    <t>NH</t>
  </si>
  <si>
    <t>1 backcountry skier caught, buried, and killed</t>
  </si>
  <si>
    <t>Squaretop, Park City Ridgeline</t>
  </si>
  <si>
    <t>1 skier caught, buried, and killed</t>
  </si>
  <si>
    <t>Dutch Draw, Park City Ridgeline</t>
  </si>
  <si>
    <t>1 sidecountry rider caught, buried, and killed</t>
  </si>
  <si>
    <t>First Creek, north of Berthoud Pass</t>
  </si>
  <si>
    <t>North Face of Battleship, southeast of Ophir</t>
  </si>
  <si>
    <t>Near Ohio Pass, Anthracite Range</t>
  </si>
  <si>
    <t>Near Sheep Pass, Salt River Range</t>
  </si>
  <si>
    <t>Mount Emmons, west of Crested Butte</t>
  </si>
  <si>
    <t>1 backcountry skier caught, killed</t>
  </si>
  <si>
    <t>Point 12885 near Red Peak, west of Silverthorne</t>
  </si>
  <si>
    <t>2 backcountry tourers caught and carried, 1 killed</t>
  </si>
  <si>
    <t>Austin Canyon, Snake River Range</t>
  </si>
  <si>
    <t>Taylor Mountain, northwest of Teton Pass</t>
  </si>
  <si>
    <t>North of Skyline Peak</t>
  </si>
  <si>
    <t>2 sidecountry riders caught, 1 partially buried, 1 buried and killed</t>
  </si>
  <si>
    <t>Near Hatcher Pass</t>
  </si>
  <si>
    <t>1 backcountry tourer caught, killed</t>
  </si>
  <si>
    <t>Unalaska Island</t>
  </si>
  <si>
    <t>South Fork of Dickson Creek, east of Red and White Mountain</t>
  </si>
  <si>
    <t>3 snowbike riders caught, 1 partially buried, 2 buried and killed</t>
  </si>
  <si>
    <t>Boulder Creek Drainage, South of Cooper Landing</t>
  </si>
  <si>
    <t>Near Blewett Pass</t>
  </si>
  <si>
    <t>1 resident caught, buried and killed</t>
  </si>
  <si>
    <t>Uncompahgre Gorge, south of Ouray</t>
  </si>
  <si>
    <t>1 climber struck by falling ice, buried, and killed</t>
  </si>
  <si>
    <t>Farmington Canyon, east of Farmington</t>
  </si>
  <si>
    <t>Scott Peak, west of Lake Tahoe</t>
  </si>
  <si>
    <t>SA</t>
  </si>
  <si>
    <t>Inbounds Rider</t>
  </si>
  <si>
    <t>2 inbounds skiers caught, 1 injured, 1 killed</t>
  </si>
  <si>
    <t>Baker Creek drainage, Smoky Mountains</t>
  </si>
  <si>
    <t>2 snowmobilers caught, 1 buried and killed</t>
  </si>
  <si>
    <t>Rock Creek, Elkhorn Mountains</t>
  </si>
  <si>
    <t>Wardner Peak, Bitterroot Mountains</t>
  </si>
  <si>
    <t>Multiple skiers caught, 2 partially buried, 5 buried, 3 killed</t>
  </si>
  <si>
    <t>Near Lake Dinah, west of Seeley Lake</t>
  </si>
  <si>
    <t>3 snowmobilers caught, 2 buried and killed, 1 partially buried</t>
  </si>
  <si>
    <t>Diamond Peaks, west of Cameron Pass</t>
  </si>
  <si>
    <t>1 backcountry skier, caught, buried, and killed</t>
  </si>
  <si>
    <t>Raymond Cataract, Mount Washington</t>
  </si>
  <si>
    <t>Lutak Inlet, north of Haines</t>
  </si>
  <si>
    <t>Casper</t>
  </si>
  <si>
    <t>1 resident caught, buried, and killed</t>
  </si>
  <si>
    <t>Near Crescent Lake, Kenai Peninsula</t>
  </si>
  <si>
    <t>2 backcountry tourers caught, 1 buried and killed</t>
  </si>
  <si>
    <t>Crested Butte South</t>
  </si>
  <si>
    <t>2 residents caught and buried, 1 killed</t>
  </si>
  <si>
    <t>Point 12118, east of Jones Pass</t>
  </si>
  <si>
    <t>Mechanized Guide</t>
  </si>
  <si>
    <t>1 mechanized guide caught, buried, and killed; 1 mechanized guide client caught</t>
  </si>
  <si>
    <t>Breccia Cliffs, northwest of Togwotee Pass</t>
  </si>
  <si>
    <t>Base Camp above Matterhorn Nordic trailhead, northeast of Lizard Head Pass</t>
  </si>
  <si>
    <t>Truman Gulch, Bridger Range</t>
  </si>
  <si>
    <t>1 skier caught, partially buried-critical, and killed</t>
  </si>
  <si>
    <t>Temptation avalanche path, Bear Creek, south of Telluride</t>
  </si>
  <si>
    <t>1 sidecountry rider caught, 1 backcountry skier caught, buried, and killed</t>
  </si>
  <si>
    <t>Pearl Pass Road, Brush Creek Drainage</t>
  </si>
  <si>
    <t>2 backcountry tourers caught, buried, and killed</t>
  </si>
  <si>
    <t>Humpy Peak, western Uinta Mountains</t>
  </si>
  <si>
    <t>Circleville Mountain, Tushar Mountains</t>
  </si>
  <si>
    <t>2 snowmobilers caught, 1 partially buried-critical, 1 buried and killed</t>
  </si>
  <si>
    <t>Near Bell Lake, Tobacco Root Mountains</t>
  </si>
  <si>
    <t>4 backcountry tourers caught, 1 injured, 1 killed</t>
  </si>
  <si>
    <t>Upper Palisades Lake, Snake River Range</t>
  </si>
  <si>
    <t>4 snowmobilers caught, 3 partially buried, 1 buried and killed</t>
  </si>
  <si>
    <t>East Face Laurel Peak, La Sal Mountains</t>
  </si>
  <si>
    <t>Green Mountain, Express Creek</t>
  </si>
  <si>
    <t>Electric Lake, Manti Skyline</t>
  </si>
  <si>
    <t>Taos Ski Valley</t>
  </si>
  <si>
    <t>NM</t>
  </si>
  <si>
    <t>2 inbounds riders caught, buried, and killed</t>
  </si>
  <si>
    <t>Mount Leidy, southwest of Togwotee Pass</t>
  </si>
  <si>
    <t>Upper Senator Beck Basin, northwest of Red Mountain Pass</t>
  </si>
  <si>
    <t>6 backcountry tourers caught, 1 partially buried, 1 buried and killed</t>
  </si>
  <si>
    <t>South Waldron Creek, north of Teton Peak</t>
  </si>
  <si>
    <t>2 snowmobilers caught, 1 carried and injured, 1 buried and killed</t>
  </si>
  <si>
    <t>Horse Creek, Wyoming Range</t>
  </si>
  <si>
    <t>Upper Blackstone Glacier, south of Whittier</t>
  </si>
  <si>
    <t>3 snowmobilers caught, 2 partially buried, 1 buried and killed</t>
  </si>
  <si>
    <t>Northwest of East Leidy Mountain, west of Togwotee Pass</t>
  </si>
  <si>
    <t>Saddle Peak, Bridger Range</t>
  </si>
  <si>
    <t>Northwest of Glacier Peak, Middle Fork Swan River</t>
  </si>
  <si>
    <t>Maroon Bowl, west of Aspen Highlands</t>
  </si>
  <si>
    <t>2 sidecountry riders caught, 1 killed</t>
  </si>
  <si>
    <t>Park Butte, south of Mount Baker</t>
  </si>
  <si>
    <t>1 snowmobiler caught, killed</t>
  </si>
  <si>
    <t>Setting Sun Mountain, north of the Methow Valley</t>
  </si>
  <si>
    <t>1 backcountry skier killed</t>
  </si>
  <si>
    <t>Near Kirkwood Ski Resort</t>
  </si>
  <si>
    <t>2 residents killed in roof avalanche</t>
  </si>
  <si>
    <t>North Fork Teanaway, north of Cle Elum</t>
  </si>
  <si>
    <t>4 snowmobilers caught, 1 injured, 2 killed</t>
  </si>
  <si>
    <t>Dude Mountain, north of Ketchikan</t>
  </si>
  <si>
    <t>1 backcountry tourers caught, 1 buried and killed</t>
  </si>
  <si>
    <t>Snoqualmie Pass</t>
  </si>
  <si>
    <t>2 hikers killed</t>
  </si>
  <si>
    <t>Stampede Pass</t>
  </si>
  <si>
    <t>4 snowmobilers caught, 1 buried and killed, 2 injured</t>
  </si>
  <si>
    <t>Sheep Creek, west of Palisades</t>
  </si>
  <si>
    <t>Ralph's Slide, Upper Rock Springs Canyon near Wilson</t>
  </si>
  <si>
    <t>1 skier caught and killed</t>
  </si>
  <si>
    <t>South of Red Mountain Pass, Sam's Trees</t>
  </si>
  <si>
    <t>2 backcountry skiers caught and partially buried, 1 killed</t>
  </si>
  <si>
    <t>Southeast of Reas Peak, Centennial Range</t>
  </si>
  <si>
    <t>Snowbiker</t>
  </si>
  <si>
    <t>1 snowbiker caught, buried, and killed</t>
  </si>
  <si>
    <t>Northwest of Reas Peak, Centennial Range</t>
  </si>
  <si>
    <t>1 snowmobiler killed</t>
  </si>
  <si>
    <t>Cabin Creek, southern Madison Range</t>
  </si>
  <si>
    <t>Commissary Ridge, Salt River Range</t>
  </si>
  <si>
    <t>Marmot Mountain, Hatcher Pass</t>
  </si>
  <si>
    <t>Imp Peak, southern Madison Range</t>
  </si>
  <si>
    <t>SKi</t>
  </si>
  <si>
    <t>Red Mountain, north of Snoqualmie Pass</t>
  </si>
  <si>
    <t>1 backcountry tourer caught, killed.</t>
  </si>
  <si>
    <t>North Pole</t>
  </si>
  <si>
    <t>1 resident partially buried-critical, later died</t>
  </si>
  <si>
    <t>Hawkins Mountain, north of Cle Eleum</t>
  </si>
  <si>
    <t>Near West Lost Lake, Flat Tops Wilderness area</t>
  </si>
  <si>
    <t>2 snow bike riders caught, 1 buried and killed</t>
  </si>
  <si>
    <t>McCoy Creek, Caribou Range east of Idaho Falls</t>
  </si>
  <si>
    <t>1 snowmobiler buried and killed</t>
  </si>
  <si>
    <t>Near Cooper Landing, Kenai Peninsula</t>
  </si>
  <si>
    <t>Mt. Stanton, north of West Glacier</t>
  </si>
  <si>
    <t>1 backcountry tourer caught, partially buried, and killed</t>
  </si>
  <si>
    <t>Near Crystal Mountain, south of Greenwater</t>
  </si>
  <si>
    <t>West of White Pass Ski Area</t>
  </si>
  <si>
    <t>1 sidecountry rider caught, killed</t>
  </si>
  <si>
    <t>East of Grand Targee Resort</t>
  </si>
  <si>
    <t>1 sidecountry rider caught, buried and killed</t>
  </si>
  <si>
    <t>Henderson Mountain, near Cooke City</t>
  </si>
  <si>
    <t>Hybrid Tourer</t>
  </si>
  <si>
    <t>2 hybrid tourers caught, 1 partially buried, 1 buried and</t>
  </si>
  <si>
    <t>Mt. Rose Chutes - Closed Area</t>
  </si>
  <si>
    <t>1 inbounds rider caught, buried, and killed</t>
  </si>
  <si>
    <t>Summit Lake area, Eastern Alaska Range</t>
  </si>
  <si>
    <t>1 snowmobiler caught, buried, killed</t>
  </si>
  <si>
    <t>Cat Ski Mount Bailey</t>
  </si>
  <si>
    <t>Mechanised guide caught, killed</t>
  </si>
  <si>
    <t>Chief Joseph Peak, Wallowa Mountains</t>
  </si>
  <si>
    <t>1 backcountry tourer partially buried-critical and killed</t>
  </si>
  <si>
    <t>Nelchina Glacier area</t>
  </si>
  <si>
    <t>Island Park</t>
  </si>
  <si>
    <t>3 residents buried, 1 killed</t>
  </si>
  <si>
    <t>Grand Targhee Resort</t>
  </si>
  <si>
    <t>1 sidecountry rider killed in cornice fall</t>
  </si>
  <si>
    <t>Big Horn Mountains near Sheridan Wyoming</t>
  </si>
  <si>
    <t>Cottonwood Pass, west of Buena Vista</t>
  </si>
  <si>
    <t>1 snow bike rider, caught, partially buried-critical, and killed</t>
  </si>
  <si>
    <t>Lost Mine Creek, east of Wolf Creek Pass</t>
  </si>
  <si>
    <t>2 snowmobilers caught, 1 partially buried, 1 fully buried and killed</t>
  </si>
  <si>
    <t>Willow Draw near Park City Mountain Resort, Utah</t>
  </si>
  <si>
    <t>1 sidecountry rider, caught, buried and killed</t>
  </si>
  <si>
    <t>Twin Lakes near Brundage Mountain</t>
  </si>
  <si>
    <t>Mt Herman, northeast of Mount Baker</t>
  </si>
  <si>
    <t>2 backcountry tourers caught, 1 injured, 1 killed</t>
  </si>
  <si>
    <t>Rock Springs drainage, south of Jackson Hole Mountain Resort</t>
  </si>
  <si>
    <t>3 sidecountry riders caught, 2 buried and killed</t>
  </si>
  <si>
    <t>Swede Creek area, Whitefish Range</t>
  </si>
  <si>
    <t>2 snowmobilers caught, 1 partially buried not-critical, 1 buried and killed.</t>
  </si>
  <si>
    <t>Red Mountain, Clear Creek County</t>
  </si>
  <si>
    <t>Gobblers Knob, Big Cottonwood Canyon</t>
  </si>
  <si>
    <t>2 backcountry tourers caught, 1 partially buried, 1 buried</t>
  </si>
  <si>
    <t>Ruby Peak, Ruby Range west of Crested Butte</t>
  </si>
  <si>
    <t>2 snowmobilers caught, 1 partially buried uninjured, 1 fully buried and killed</t>
  </si>
  <si>
    <t>Pyramid Peak, Teton Range</t>
  </si>
  <si>
    <t>Cedar Basin, west of Big Sky</t>
  </si>
  <si>
    <t>Skyscraper Mountain, Hatcher Pass</t>
  </si>
  <si>
    <t>1 backcountry snowboarder fully buried and killed</t>
  </si>
  <si>
    <t>St Marys Lake, Front Range</t>
  </si>
  <si>
    <t>1 climber caught, buried, killed.</t>
  </si>
  <si>
    <t>Backcountry near Sugar Bowl Ski Resort</t>
  </si>
  <si>
    <t>Grubstake Gulch, southwest of Hatcher Pass</t>
  </si>
  <si>
    <t>Granite Mountain near Snoqualmie Pass</t>
  </si>
  <si>
    <t>1 hiker killed</t>
  </si>
  <si>
    <t>Kendall Peak, Snoqualmie Pass</t>
  </si>
  <si>
    <t>Sheep Mountain, north of Cooke City</t>
  </si>
  <si>
    <t>3 snowmoiblers caught, 1 fully buried and killed</t>
  </si>
  <si>
    <t>Eldorado Bowl, Hatcher Pass</t>
  </si>
  <si>
    <t>Mt Russell, John Muir Wilderness</t>
  </si>
  <si>
    <t>1 hiker caught, buried, and killed</t>
  </si>
  <si>
    <t>Sickle Couloir, Mount Moran</t>
  </si>
  <si>
    <t>4 backcountry tourers caught, 1 injured, 2 killed</t>
  </si>
  <si>
    <t>Beehive Peak, northern Madison Range</t>
  </si>
  <si>
    <t>North of Tebay Lakes, Wrangell-St. Elias National Park and Preserve</t>
  </si>
  <si>
    <t>1 backcountry tourer killed in cornice collapse</t>
  </si>
  <si>
    <t>Alaska - Squaw Creek, near Cantwell</t>
  </si>
  <si>
    <t>1 snowmobiler caught, buried, lated succumbed to injuries</t>
  </si>
  <si>
    <t>Hells Canyon, near Snowbasin Ski Resort</t>
  </si>
  <si>
    <t>Peter Barker path, near Aspen Mountain</t>
  </si>
  <si>
    <t>Rabbit Ears path, Kendall Mountain</t>
  </si>
  <si>
    <t>One backcountry skier, caught, carried, partially buried, and killed</t>
  </si>
  <si>
    <t>Kelso Mountain</t>
  </si>
  <si>
    <t>One climber, traveling on snowshoes, caught, buried, and killed</t>
  </si>
  <si>
    <t>Rainbow Ridge area, Delta Range</t>
  </si>
  <si>
    <t>2 backcountry tourers caught, 1 injured,1 killed</t>
  </si>
  <si>
    <t>Near Henderson Peak, Cooke City</t>
  </si>
  <si>
    <t>One snowmobiler caught, buried, and killed</t>
  </si>
  <si>
    <t>Liberty Ridge, Mount Rainier</t>
  </si>
  <si>
    <t>6 climbers caught, buried and killed</t>
  </si>
  <si>
    <t>North face of Mount Shuksan</t>
  </si>
  <si>
    <t>1 backcountry tourer (on ascent) caught and killed</t>
  </si>
  <si>
    <t>Olson Gulch, west of Anaconda</t>
  </si>
  <si>
    <t>1 backcountry skier caught, died on scene</t>
  </si>
  <si>
    <t>Crater Lake National Park</t>
  </si>
  <si>
    <t>1 snowshoer caught in cornice fall</t>
  </si>
  <si>
    <t>Granite Mountain</t>
  </si>
  <si>
    <t>Kicking Horse Valley, west of Haines</t>
  </si>
  <si>
    <t>1 heliski guide caught, buried, and died from injuries</t>
  </si>
  <si>
    <t>Cooke City, Montana</t>
  </si>
  <si>
    <t>Altoona, about 10 miles northeast of Philipsburg, Montana</t>
  </si>
  <si>
    <t>Gold Hill, Uinta Mountains</t>
  </si>
  <si>
    <t>Sharkstooth Peak, La Plata Mountains</t>
  </si>
  <si>
    <t>1 snowmobiler fully buried, missing and presumed dead</t>
  </si>
  <si>
    <t>Diablo Ridge, Pt. 12,505, approx. 1 mile W of Conejos Peak</t>
  </si>
  <si>
    <t>Ski Patroller</t>
  </si>
  <si>
    <t>Mount Jumbo, Missoula</t>
  </si>
  <si>
    <t>1 snowplayer and 2 residents caught and buried, 1 resident killed</t>
  </si>
  <si>
    <t>Troy, West Cabinet Mountain Range</t>
  </si>
  <si>
    <t>2 snowmobilers caught, 1 partly buried and 1 buried and killed</t>
  </si>
  <si>
    <t>Near Togwotee Pass</t>
  </si>
  <si>
    <t>Frenchman Creek, northwest of Galena Summit</t>
  </si>
  <si>
    <t>4 snowmobilers caught and buried, 1 killed</t>
  </si>
  <si>
    <t>Star Mountain, near Twin Lakes</t>
  </si>
  <si>
    <t>5 skiers caught, 3 injured, 2 killed</t>
  </si>
  <si>
    <t>SW face of Cornucopia Peak, Wallowa Mountains</t>
  </si>
  <si>
    <t>Human-powered Guide Client</t>
  </si>
  <si>
    <t>5 backcountry skiers caught, 1 uninjured, 2 injured, 2 killed</t>
  </si>
  <si>
    <t>North Fork Swan River, south of Keystone Ski Area</t>
  </si>
  <si>
    <t>2 skiers caught, 1 partially buried, 1 buried and killed</t>
  </si>
  <si>
    <t>Left Fork Huntington Creek</t>
  </si>
  <si>
    <t>Near Kebler Pass, west of Crested Butte</t>
  </si>
  <si>
    <t>Near Tibble Fork Reservoir</t>
  </si>
  <si>
    <t>Snowplayer</t>
  </si>
  <si>
    <t>1 snowshoer caught, buried, and killed</t>
  </si>
  <si>
    <t>Lewis Peak, Cascades north of Stevens Pass</t>
  </si>
  <si>
    <t>East Vail, backcountry southeast of Vail Ski Area</t>
  </si>
  <si>
    <t>4 riders caught, 1 injured, 1 killed</t>
  </si>
  <si>
    <t>Onion Basin, northern Gallatin Range</t>
  </si>
  <si>
    <t>Parkview Mountain, west of Willow Creek Pass</t>
  </si>
  <si>
    <t>One backcountry traveler buried and killed</t>
  </si>
  <si>
    <t>Pucker Face, near Jackson Hole Mountain Resort</t>
  </si>
  <si>
    <t>One skier caught, buried, and killed</t>
  </si>
  <si>
    <t>Neely's, Palisades Peak</t>
  </si>
  <si>
    <t>One snowmobiler, caught, buried and killed</t>
  </si>
  <si>
    <t>Sheep Creek, north of Loveland Pass</t>
  </si>
  <si>
    <t>6 backcountry tourers caught, 1 partially buried, 5 buried and killed</t>
  </si>
  <si>
    <t>Ptarmigan Hill, near Vail Pass</t>
  </si>
  <si>
    <t>1 snowboarder caught and killed</t>
  </si>
  <si>
    <t>Red Mountain, near Snoqualmie Pass</t>
  </si>
  <si>
    <t>Three climbers caught, two injured, one buried and killed</t>
  </si>
  <si>
    <t>Kessler Peak, Big Cottonwood Canyon</t>
  </si>
  <si>
    <t>Highway Personnel</t>
  </si>
  <si>
    <t>Ypsilon Mountain, Rocky Mountain National Park</t>
  </si>
  <si>
    <t>2 climbers caught, 2 injured, 1 killed</t>
  </si>
  <si>
    <t>Takhinsha Mountains, southwest of Haines</t>
  </si>
  <si>
    <t>Mechanized Guiding Client</t>
  </si>
  <si>
    <t>4 heliskiers caught in cornice fall, 2 injured, 1 killed</t>
  </si>
  <si>
    <t>Nokhu Crags, Never Summer Mountains</t>
  </si>
  <si>
    <t>2 skiers caught, 1 partially buried-critical and injured, 1 buried and killed</t>
  </si>
  <si>
    <t>Prospectors Mountain, Grand Teton National Park</t>
  </si>
  <si>
    <t>1 ski mountaineer caught and killed</t>
  </si>
  <si>
    <t>Huntington Ravine, Mount Washington</t>
  </si>
  <si>
    <t>1 climber caught and killed</t>
  </si>
  <si>
    <t>12 Mile Canyon, Manti Skyline</t>
  </si>
  <si>
    <t>Cement Creek, near Silverton</t>
  </si>
  <si>
    <t>3 skiers caught, 1 buried and killed, 1 partially buried, 1 injured</t>
  </si>
  <si>
    <t>Survey Peak, Grand Teton National Park</t>
  </si>
  <si>
    <t>Clause Creek, southwest of Hoback Canyon</t>
  </si>
  <si>
    <t>Mill Hollow, West Fork Duchesne</t>
  </si>
  <si>
    <t>3 snowmobilers caught on foot, 2 buried and killed</t>
  </si>
  <si>
    <t>Raspberry Creek, near Marble</t>
  </si>
  <si>
    <t>Ships Prow Glades, Snowmass Ski Area</t>
  </si>
  <si>
    <t>1 ski patroller killed</t>
  </si>
  <si>
    <t>Donner Ski Ranch</t>
  </si>
  <si>
    <t>1 snowboarder caught, buried, and killed</t>
  </si>
  <si>
    <t>Alpine Meadows Ski Area</t>
  </si>
  <si>
    <t>1 ski patroller caught, buried and killed</t>
  </si>
  <si>
    <t>West Buttress, Denali</t>
  </si>
  <si>
    <t>Ophir Pass, Paradise Basin</t>
  </si>
  <si>
    <t>Takin Ridge, northwest of Haines</t>
  </si>
  <si>
    <t>Ranger Peak, Grand Teton National Park</t>
  </si>
  <si>
    <t>Beaver Basin, La Sal Mountains</t>
  </si>
  <si>
    <t>Forestdale Divide, Carson Pass</t>
  </si>
  <si>
    <t>Polaris Point, Ward Canyon</t>
  </si>
  <si>
    <t>SE of Grouse Mountain, Togwotee Pass</t>
  </si>
  <si>
    <t>Skyline Creek, near Marias Pass</t>
  </si>
  <si>
    <t>Daisy Pass Road, north of Cooke City</t>
  </si>
  <si>
    <t>Lost Johnny drainage, east of Kaispell</t>
  </si>
  <si>
    <t>WAC Bluffs near Aplental Ski Area</t>
  </si>
  <si>
    <t>Tunnel Creek, near Stevens Pass</t>
  </si>
  <si>
    <t>Gibbs Creek, near Wolf Creek Pass</t>
  </si>
  <si>
    <t>Contention Fingers, Bear Creek, Telluride</t>
  </si>
  <si>
    <t>Lost Creek Reservior</t>
  </si>
  <si>
    <t>Twin Lakes, Swan Range</t>
  </si>
  <si>
    <t>Little Giant, West Kessler, Big Cottonwood Canyon</t>
  </si>
  <si>
    <t>Prima Cornice, Vail</t>
  </si>
  <si>
    <t>Trestle Trees, Winter Park</t>
  </si>
  <si>
    <t>Chedsey Creek, North Park</t>
  </si>
  <si>
    <t>Burnt Mountain near Snowmass Village</t>
  </si>
  <si>
    <t>Phillipsburg, Flint Range, Red Lion</t>
  </si>
  <si>
    <t>Hayden Creek, south of Cooke City</t>
  </si>
  <si>
    <t>Gad Valley, Little Cottonwood Canyon</t>
  </si>
  <si>
    <t>Mount Frances, Denali National Park</t>
  </si>
  <si>
    <t>Torreys Peak</t>
  </si>
  <si>
    <t>Ruth Gorge</t>
  </si>
  <si>
    <t>Split Mountain, south of Bishop</t>
  </si>
  <si>
    <t>Bird Ridge, Chugach State Park</t>
  </si>
  <si>
    <t>Sled, tube, or saucer</t>
  </si>
  <si>
    <t>Garnet Canyon Meadows, Grand Teton National Park</t>
  </si>
  <si>
    <t>Highlands Ridge, Desolation Row, Aspen zone</t>
  </si>
  <si>
    <t>Back country to the west of Stevens Pass, WA. Backside of Cowboy Mountain</t>
  </si>
  <si>
    <t>Horsehoe Mountain, Manti Skyline</t>
  </si>
  <si>
    <t>Bald Mountain, Hatcher Pass</t>
  </si>
  <si>
    <t>Mount Cashmere</t>
  </si>
  <si>
    <t>East Snowmass Creek Valley, Sand's Chute</t>
  </si>
  <si>
    <t>Sand Peak-Flat Tops</t>
  </si>
  <si>
    <t>Red Mountain, Snoqualmie Pass Washington</t>
  </si>
  <si>
    <t>"High Trail Cliffs," northeast of Berthoud Pass</t>
  </si>
  <si>
    <t>Near Hungry Horse Reservoir, east of Kalispell</t>
  </si>
  <si>
    <t>20 miles northeast of Calder</t>
  </si>
  <si>
    <t>Dry Gulch-East of Eisenhower Tunnel</t>
  </si>
  <si>
    <t>Morning Star Peak, north central Washington Cascades</t>
  </si>
  <si>
    <t>Cherry Hill, western Uinta Mountains</t>
  </si>
  <si>
    <t>Wolf Creek Pass Ski Area, Glory Hole Point</t>
  </si>
  <si>
    <t>Lolo Peak, west of Missoula, MT</t>
  </si>
  <si>
    <t>Ingraham Direct Route, Mount Rainier</t>
  </si>
  <si>
    <t>Ruth Gorge, Denali National Park</t>
  </si>
  <si>
    <t>McAtee Basin south of Big Sky</t>
  </si>
  <si>
    <t>Francis Peak northwest of Farmington</t>
  </si>
  <si>
    <t>Indian Creek drainage northwest of Alpine</t>
  </si>
  <si>
    <t>Peak 6996 near Marias Pass, Glacier NP</t>
  </si>
  <si>
    <t>Near Baldy Peak, east of Ridgway</t>
  </si>
  <si>
    <t>Near Brundage Mountain</t>
  </si>
  <si>
    <t>Missoula Lake 10 miles SW of Superior, MT</t>
  </si>
  <si>
    <t>Southwest of Creede</t>
  </si>
  <si>
    <t>North of Schweitzer Ski Area, Idaho Panhandle</t>
  </si>
  <si>
    <t>Near Antora Peak south of Buena Vista</t>
  </si>
  <si>
    <t>Steep Gully #1, west of Arapahoe Basin Ski Area</t>
  </si>
  <si>
    <t>Lindley Backcountry Hut south of Aspen</t>
  </si>
  <si>
    <t>South Teton, Grand Teton NP</t>
  </si>
  <si>
    <t>South Fork Eagle River, Alaska Three Bowls</t>
  </si>
  <si>
    <t>Grandview, Placer River Drainage, Chugach NF</t>
  </si>
  <si>
    <t>Near the Ridgway Hut, San Juan Mountains</t>
  </si>
  <si>
    <t>North Fork of Murphy Creek, Wyoming Range</t>
  </si>
  <si>
    <t>Garns Mtn in the Big Hole Range west of Driggs</t>
  </si>
  <si>
    <t>Grandview Pk, Session Mtns east of Bountiful</t>
  </si>
  <si>
    <t>Near Boardman Pass, Soldier Mountains</t>
  </si>
  <si>
    <t>Meadows Chutes near Solitude Ski Area</t>
  </si>
  <si>
    <t>Hells Canyon, Snowbasin Backcountry</t>
  </si>
  <si>
    <t>Off trail run in bounds at Sun Valley Ski Resort</t>
  </si>
  <si>
    <t>Battle Mountain, Vail sidecountry</t>
  </si>
  <si>
    <t>Jackson Hole Mountain Resort</t>
  </si>
  <si>
    <t>Scotch Bonnet Mountain near Cooke City</t>
  </si>
  <si>
    <t>Paulina Peak east of La Pine</t>
  </si>
  <si>
    <t>Rock Lake west of Cascade</t>
  </si>
  <si>
    <t>Hyalite Canyon outside of Bozeman</t>
  </si>
  <si>
    <t>Thompson Pass</t>
  </si>
  <si>
    <t>Norton Creek, 20 MILES west of Ketchum</t>
  </si>
  <si>
    <t>Johnson Pass, Kenai Peninsula</t>
  </si>
  <si>
    <t>Aneroid Basin, Eagle Cap Wilderness</t>
  </si>
  <si>
    <t>Gladiator Ridge, north of Sun Valley</t>
  </si>
  <si>
    <t>Squaw Valley</t>
  </si>
  <si>
    <t>Indian Peak area, Sanke River Range</t>
  </si>
  <si>
    <t>Trapper Creek, North of Priest Lake</t>
  </si>
  <si>
    <t>Maggies Peaks</t>
  </si>
  <si>
    <t>Hell Roaring drainage South of Mt Jefferson</t>
  </si>
  <si>
    <t>Northeast facing slope on Crown Butte</t>
  </si>
  <si>
    <t>Black Butte area of the Gravelly Range</t>
  </si>
  <si>
    <t>Near Cody</t>
  </si>
  <si>
    <t>Rockford</t>
  </si>
  <si>
    <t>Yamaha Hill, western Uintas</t>
  </si>
  <si>
    <t>Tatie Peak, near Harts Pass</t>
  </si>
  <si>
    <t>Brown Bear Basin near Harts Pass</t>
  </si>
  <si>
    <t>Jackson Hole</t>
  </si>
  <si>
    <t>Gravel Mountain, north of Granby</t>
  </si>
  <si>
    <t>Poulsen’s Gully-Squaw Valley Ski Area</t>
  </si>
  <si>
    <t>Logan Peak</t>
  </si>
  <si>
    <t>Northwest of Crested Butte</t>
  </si>
  <si>
    <t>Snowbird Ski Area</t>
  </si>
  <si>
    <t>Near Aspen Ski Area</t>
  </si>
  <si>
    <t>Sheep Mountain, near Orofino</t>
  </si>
  <si>
    <t>Mount Eyak, Cordova</t>
  </si>
  <si>
    <t>Seattle Creek, near Turnigan Pass</t>
  </si>
  <si>
    <t>Garden Valley</t>
  </si>
  <si>
    <t>Little Box Canyon</t>
  </si>
  <si>
    <t>Tokopah Canyon, Sequoia National Park</t>
  </si>
  <si>
    <t>Near Mountain High ski resort</t>
  </si>
  <si>
    <t>Beehive Basin, near Big Sky</t>
  </si>
  <si>
    <t>Canyon Creek, near Whitefish Mountain</t>
  </si>
  <si>
    <t>King Tut, East Vail backcountry southeast of Vail</t>
  </si>
  <si>
    <t>Star Valley</t>
  </si>
  <si>
    <t>Blanca Peak</t>
  </si>
  <si>
    <t>Near Mt Pilchuck</t>
  </si>
  <si>
    <t>CDC, East Vail backcountry southeast of Vail</t>
  </si>
  <si>
    <t>Fargo</t>
  </si>
  <si>
    <t>ND</t>
  </si>
  <si>
    <t>French Creek, Snowy Range</t>
  </si>
  <si>
    <t>Excelsior Pass area, north of Mount Baker</t>
  </si>
  <si>
    <t>Near Co-op Creek, Western Uintas</t>
  </si>
  <si>
    <t>Superbowl near Windy Ridge, Western Uintas</t>
  </si>
  <si>
    <t>The Canyons</t>
  </si>
  <si>
    <t>Edith Creek, Mount Rainier National Park</t>
  </si>
  <si>
    <t>Union Creek, near Crystal Mountain Resort</t>
  </si>
  <si>
    <t>Other</t>
  </si>
  <si>
    <t>Source Lake, near Snoqualmie Pass</t>
  </si>
  <si>
    <t>Cameron Pass</t>
  </si>
  <si>
    <t>Mount Shimer</t>
  </si>
  <si>
    <t>Darby Canyon</t>
  </si>
  <si>
    <t>Yellow Mountain</t>
  </si>
  <si>
    <t>Echo Lake, Mt Evans</t>
  </si>
  <si>
    <t>near Crystal Mountain</t>
  </si>
  <si>
    <t>Gobbler’s Knob, Wasatch Range</t>
  </si>
  <si>
    <t>Hell’s Canyon, near Snowbasin</t>
  </si>
  <si>
    <t>Signal Peak, southeast of Richfield</t>
  </si>
  <si>
    <t>Tower Mountain, southeast of Heber City</t>
  </si>
  <si>
    <t>Big Belt Mountains</t>
  </si>
  <si>
    <t>Palisades Peak Area</t>
  </si>
  <si>
    <t>North Peak</t>
  </si>
  <si>
    <t>Mt Jefferson, Centenial Range</t>
  </si>
  <si>
    <t>Lionhead, W of West Yellowstone</t>
  </si>
  <si>
    <t>Snowmass</t>
  </si>
  <si>
    <t>Stewart Peak, Salt River Range</t>
  </si>
  <si>
    <t>Scotch Bonnet Peak, Cooke City</t>
  </si>
  <si>
    <t>Backcountry near Lookout Pass</t>
  </si>
  <si>
    <t>Mount Herman, west of Mt. Baker Ski Area</t>
  </si>
  <si>
    <t>Patriot Bowl-west of Trinity Mtn. Lookout</t>
  </si>
  <si>
    <t>Pioneer Ridge, an out-of-bounds area near Brighton Ski Resort</t>
  </si>
  <si>
    <t>Mountians outside of Spencer</t>
  </si>
  <si>
    <t>Tiffany Mountain near Conconully</t>
  </si>
  <si>
    <t>Ogden Mtn., Taylor Canyon</t>
  </si>
  <si>
    <t>mountains near Antelope Creek</t>
  </si>
  <si>
    <t>Marmot Mountain, Hatcher Pass Area</t>
  </si>
  <si>
    <t>Rainy Pass; Dalzell Creek, in the Alaska Range</t>
  </si>
  <si>
    <t>FLATTOP MTN, CHUGACH STATE PARK, CHUGACH MTNS</t>
  </si>
  <si>
    <t>Blacksmith Creek drainage,Twin Lakes area; Sawtooth Range</t>
  </si>
  <si>
    <t>Red Meadow Lake west of Polebridge</t>
  </si>
  <si>
    <t>MILLER MOUNTAIN-SHEEP CREEK</t>
  </si>
  <si>
    <t>Coal Creek, West side of Teton Pass</t>
  </si>
  <si>
    <t>south end of Mt. Abundance</t>
  </si>
  <si>
    <t>Raggedtop Mountain</t>
  </si>
  <si>
    <t>Trap Peak</t>
  </si>
  <si>
    <t>Mt. Timpanogos area, near Hidden Lakes</t>
  </si>
  <si>
    <t>Togwotee Pass/Squaw Basin area</t>
  </si>
  <si>
    <t>Berthoud Pass, Mines 2</t>
  </si>
  <si>
    <t>WHITE CLOUD MTNS STANLEY</t>
  </si>
  <si>
    <t>ARAPAHOE BASIN</t>
  </si>
  <si>
    <t>GRAND MESA CLIFFS</t>
  </si>
  <si>
    <t>KETCHUM 20MI NW BAKER CREEK BRODIE GULCH</t>
  </si>
  <si>
    <t>OGDEN MONTE CRISTO ECCLES PEAK</t>
  </si>
  <si>
    <t>BISHOP MT TOM ELDERBERRY CANYON</t>
  </si>
  <si>
    <t>BRECKENRIDGE QUANDARY PEAK SOUTH COULOIR</t>
  </si>
  <si>
    <t>ASPEN HIGHLANDS FIVE FINGER BOWL</t>
  </si>
  <si>
    <t>SUGAR BOWL MT ANDERSON NORTH BOWL BENSON HUT</t>
  </si>
  <si>
    <t>MT HUNTINGTON DENALI NP</t>
  </si>
  <si>
    <t>MOUNT MANSFIELD, NE RIDGE</t>
  </si>
  <si>
    <t>VT</t>
  </si>
  <si>
    <t>LAKE STEVENS</t>
  </si>
  <si>
    <t>CANYONS DUTCH DRAW OB</t>
  </si>
  <si>
    <t>SNOQUALMIE PASS ALPENTAL SA CLOSED</t>
  </si>
  <si>
    <t>LAS VEGAS SKI MT CHARLESTON LEE CANYON</t>
  </si>
  <si>
    <t>MANTI WASATCH PLATEAU EPHRIAM CANYON</t>
  </si>
  <si>
    <t>WASATCH PLATEAU MT PLEASANT CHOKE CHERRY</t>
  </si>
  <si>
    <t>BUFFALO PASS SODA MOUNTAIN</t>
  </si>
  <si>
    <t>CENTENNIAL MTNS HELL ROARING HUT</t>
  </si>
  <si>
    <t>BIG COTTONWOOD CNYN MINERAL FORK</t>
  </si>
  <si>
    <t>PROVO UINTA MONTAINS STRAWBERRY VALLEY, trout creek</t>
  </si>
  <si>
    <t>BIG COTTONWOOD CNYN TWIN LAKES PASS</t>
  </si>
  <si>
    <t>MADISON RANGE SPHINX MOUNTAIN</t>
  </si>
  <si>
    <t>MT RAINIER INGRAHAM GLACIER</t>
  </si>
  <si>
    <t>MT RAINIER / LIBERTY RIDGE</t>
  </si>
  <si>
    <t>MT BAKER OB</t>
  </si>
  <si>
    <t>PAXSON / RICHARDSON HWY MP 194 / HOODOO MTNS</t>
  </si>
  <si>
    <t>SAWATCH RANGE / BROWNS PEAK</t>
  </si>
  <si>
    <t>SAWATCH RANGE / LA PLATA PEAK</t>
  </si>
  <si>
    <t>BRECKENRIDGE / MT GUYOT</t>
  </si>
  <si>
    <t>SANDPOINT / JERU</t>
  </si>
  <si>
    <t>SNOQUALMIE PASS / SALMON LA SAC</t>
  </si>
  <si>
    <t>PORTAGE / BRYON GLACIER PEAK</t>
  </si>
  <si>
    <t>KETCHUM / APOLLO CREEK</t>
  </si>
  <si>
    <t>PARK CITY / DALY CANYON / JUDGE MINE</t>
  </si>
  <si>
    <t>JACKSON / TETON RANGE / PK 9870</t>
  </si>
  <si>
    <t>PORTAGE / USFS BUILDING</t>
  </si>
  <si>
    <t>Others at Work</t>
  </si>
  <si>
    <t>FAIRFIELD</t>
  </si>
  <si>
    <t>DONNER SUMMIT</t>
  </si>
  <si>
    <t>PROVO CANYON / ASPEN GROVE / ROBERTS HORN CHUTE</t>
  </si>
  <si>
    <t>BLEWETT PASS / NAVAJO PEAK</t>
  </si>
  <si>
    <t>SNOQUALMIE PASS / SNOW LAKE TRAIL</t>
  </si>
  <si>
    <t>MT BAKER / ARTIST POINT</t>
  </si>
  <si>
    <t>CARSON PASS / NR BLUE LAKES</t>
  </si>
  <si>
    <t>DEVILS THUMB</t>
  </si>
  <si>
    <t>WRANGELL-ST ELIAS / VERDE PEAK</t>
  </si>
  <si>
    <t>LA PLATA MTNS / BURRO MTN</t>
  </si>
  <si>
    <t>ARAPAHOE BASIN / PORCUPINE MTN</t>
  </si>
  <si>
    <t>COOKE CITY / MT ABUNDANCE</t>
  </si>
  <si>
    <t>SAWATCH RANGE / COTTONWOOD PASS / PTARMIGAN LAKE</t>
  </si>
  <si>
    <t>ST ELMO / SAWATCH RANGE / HANCOCK PASS</t>
  </si>
  <si>
    <t>SALT RIVER RANGE / POKER FLATS</t>
  </si>
  <si>
    <t>SAWATCH RANGE / ELK HEAD PASS /MISSOURI BASIN NR BELFORD</t>
  </si>
  <si>
    <t>PRIEST LAKE / ECHO BASIN</t>
  </si>
  <si>
    <t>SCHWEITZER / KEOKEE PEAK</t>
  </si>
  <si>
    <t>DRY GULCH / SNOOPY</t>
  </si>
  <si>
    <t>BIG COTTONWOOD CYN / MILL CREEK / GOBBLERS KNOB</t>
  </si>
  <si>
    <t>JACKSON HOLE / HOURGLASS COULOIR</t>
  </si>
  <si>
    <t>HATCHER PASS</t>
  </si>
  <si>
    <t>LIVINGSTON / CRAZY MTNS / ELK CREEK</t>
  </si>
  <si>
    <t>LINCOLN / COPPER CREEK BOWL</t>
  </si>
  <si>
    <t>TETON PASS / AVALANCHE BOWL</t>
  </si>
  <si>
    <t>TOGWOTEE PASS / KETTLE CREEK</t>
  </si>
  <si>
    <t>COOKE CITY / WOLVERINE PEAK</t>
  </si>
  <si>
    <t>GRAYS RIVER / CORRAL CREEK LAKE</t>
  </si>
  <si>
    <t>TETON PASS / SKI LAKE</t>
  </si>
  <si>
    <t>CRYSTAL MOUNTAIN / NORSE PEAK</t>
  </si>
  <si>
    <t>FAIRFIELD / TRINITY MTNS</t>
  </si>
  <si>
    <t>SNOWY RANGE W SIDE</t>
  </si>
  <si>
    <t>MT ROSE OB</t>
  </si>
  <si>
    <t>MT WASHINGTON / TUCKERMAN RAVINE</t>
  </si>
  <si>
    <t>MT FORAKER</t>
  </si>
  <si>
    <t>EAGLE RIVER 6 MILE</t>
  </si>
  <si>
    <t>TARGHEE CREEK</t>
  </si>
  <si>
    <t>JACKSON / JACKSON PEAK</t>
  </si>
  <si>
    <t>FLATTOPS / PAGODA PEAK</t>
  </si>
  <si>
    <t>BRIGHTON OB / PIONEER RIDGE</t>
  </si>
  <si>
    <t>WHITEFISH RANGE / SOUTH CANYON</t>
  </si>
  <si>
    <t>TELLURIDE OB / TEMPTER BOWL</t>
  </si>
  <si>
    <t>ASHCROFT / LINDLEY HUT</t>
  </si>
  <si>
    <t>ASPEN MTN OB / PANDORAS</t>
  </si>
  <si>
    <t>VICTOR / BIG HOLE MTNS</t>
  </si>
  <si>
    <t>SUGAR BOWL OB / MT JUDAH</t>
  </si>
  <si>
    <t>GLENWOOD SPRINGS / MINER BASIN</t>
  </si>
  <si>
    <t>WHITEFISH RANGE</t>
  </si>
  <si>
    <t>CRYSTAL PEAK / FRIENDS HUT</t>
  </si>
  <si>
    <t>ASPEN HIGHLANDS</t>
  </si>
  <si>
    <t>WEBER CANYON</t>
  </si>
  <si>
    <t>BONNER SHEEP MTN</t>
  </si>
  <si>
    <t>PAXSON SUMMIT LAKE</t>
  </si>
  <si>
    <t>PHILIPSBURG</t>
  </si>
  <si>
    <t>CANTWELL</t>
  </si>
  <si>
    <t>HOPE PALMER CREEK ROAD</t>
  </si>
  <si>
    <t>CORDOVA</t>
  </si>
  <si>
    <t>YANKEE DOODLE LAKE</t>
  </si>
  <si>
    <t>BIG COTTONWOOD CYN / STAIRS GU</t>
  </si>
  <si>
    <t>MT BAKER</t>
  </si>
  <si>
    <t>FLATHEAD PASS / BRIDGER MTNS</t>
  </si>
  <si>
    <t>WEST YELLOWSTONE / LIONSHEAD</t>
  </si>
  <si>
    <t>TENMILE RANGE / W SIDE</t>
  </si>
  <si>
    <t>STEAMBOAT / FARWELL MTN</t>
  </si>
  <si>
    <t>DELTA / SUMMIT LAKE</t>
  </si>
  <si>
    <t>UINTA MTNS</t>
  </si>
  <si>
    <t>GRAYS RIVER / PRATER PK</t>
  </si>
  <si>
    <t>CANYONS / RED ROCK CLIFFS</t>
  </si>
  <si>
    <t>CRESTED BUTTE OHIO PASS</t>
  </si>
  <si>
    <t>JACKSON HOLE OB APRES VOUS</t>
  </si>
  <si>
    <t>SQUAW VALLEY OB</t>
  </si>
  <si>
    <t>CLE ELUM LAKE ANN WENATCHEE NF</t>
  </si>
  <si>
    <t>JACKSON HOLE ROCK SPRINGS</t>
  </si>
  <si>
    <t>EUREKA LODGE MATANUSKA RIVER</t>
  </si>
  <si>
    <t>TWIN LAKES NR LAKE WENATCHEE</t>
  </si>
  <si>
    <t>ROCK CREEK NW OF JACKSON</t>
  </si>
  <si>
    <t>EMIGRANT PK ABSAROKA MTNS</t>
  </si>
  <si>
    <t>CAMERON PASS DIAMOND PKS</t>
  </si>
  <si>
    <t>TETONS DEAD HORSE PASS</t>
  </si>
  <si>
    <t>MARIAS PASS PUZZLE SLIDE</t>
  </si>
  <si>
    <t>OGDEN / WILLARD PEAK</t>
  </si>
  <si>
    <t>TETON PASS</t>
  </si>
  <si>
    <t>CANTWELL / DENALI NP</t>
  </si>
  <si>
    <t>TETON PASS, Glory Bowl</t>
  </si>
  <si>
    <t>SUNLIGHT BASIN CODY</t>
  </si>
  <si>
    <t>Hunter</t>
  </si>
  <si>
    <t>ABASIN MARJORIE BOWL</t>
  </si>
  <si>
    <t>PAXON / SUMMIT LAKE</t>
  </si>
  <si>
    <t>TALKEETNA</t>
  </si>
  <si>
    <t>SWAN RANGE</t>
  </si>
  <si>
    <t>BONNERS FERRY</t>
  </si>
  <si>
    <t>MT WASHINGTON</t>
  </si>
  <si>
    <t>LAKE PLACID</t>
  </si>
  <si>
    <t>NY</t>
  </si>
  <si>
    <t>ST CHARLES</t>
  </si>
  <si>
    <t>SEWARD HIGHWAY</t>
  </si>
  <si>
    <t>RD</t>
  </si>
  <si>
    <t>ASPEN HURRICANE</t>
  </si>
  <si>
    <t>ABASIN BEAVERS</t>
  </si>
  <si>
    <t>JONES PASS</t>
  </si>
  <si>
    <t>CRYSTAL MTN</t>
  </si>
  <si>
    <t>THE CANYONS</t>
  </si>
  <si>
    <t>QUANDARY PEAK</t>
  </si>
  <si>
    <t>CAMERON PASS</t>
  </si>
  <si>
    <t>BIG SKY / DOBES</t>
  </si>
  <si>
    <t>SITKA</t>
  </si>
  <si>
    <t>WRANGELL-ST ELIAS</t>
  </si>
  <si>
    <t>MT MCGINNIS JUNEAU</t>
  </si>
  <si>
    <t>TALKEETNA MTNS CANTW</t>
  </si>
  <si>
    <t>OPHIR</t>
  </si>
  <si>
    <t>CHUGACH MTNS</t>
  </si>
  <si>
    <t>TURNAGAIN PASS</t>
  </si>
  <si>
    <t>CUMBERLAND PASS</t>
  </si>
  <si>
    <t>LITTLE COTTON WD CNY</t>
  </si>
  <si>
    <t>GRAND MESA</t>
  </si>
  <si>
    <t>BLUE MOUNTAINS</t>
  </si>
  <si>
    <t>S WASATCH MT NEBO</t>
  </si>
  <si>
    <t>JACKSON HOLE</t>
  </si>
  <si>
    <t>TOGWOTEE PASS</t>
  </si>
  <si>
    <t>FAIRVIEW CANYON</t>
  </si>
  <si>
    <t>BITTERROOT MTNS</t>
  </si>
  <si>
    <t>LIMA PKS S OF DILLON</t>
  </si>
  <si>
    <t>SNOWBIRD</t>
  </si>
  <si>
    <t>MT RAINER</t>
  </si>
  <si>
    <t>MT HOOD</t>
  </si>
  <si>
    <t>DENALI /</t>
  </si>
  <si>
    <t>BERTHOUD PASS russel</t>
  </si>
  <si>
    <t>ST MARYS GLACIER</t>
  </si>
  <si>
    <t>ASPEN MTN</t>
  </si>
  <si>
    <t>MORMOM HILL</t>
  </si>
  <si>
    <t>DONNER PASS</t>
  </si>
  <si>
    <t>INSPIRATION PASS</t>
  </si>
  <si>
    <t>LIZARD HEAD PASS San Bernardo Pk</t>
  </si>
  <si>
    <t>BLEWETT PASS</t>
  </si>
  <si>
    <t>SUMMIT CNTY</t>
  </si>
  <si>
    <t>MADISON RANGE</t>
  </si>
  <si>
    <t>COOKE CITY</t>
  </si>
  <si>
    <t>MT PLEASANT</t>
  </si>
  <si>
    <t>ENCAMPMENT battle lk</t>
  </si>
  <si>
    <t>MISSION MTNS</t>
  </si>
  <si>
    <t>HAMILTON</t>
  </si>
  <si>
    <t>ISLAND PARK reas pk</t>
  </si>
  <si>
    <t>ISLAND PARK sawtell</t>
  </si>
  <si>
    <t>GUANELLA PASS</t>
  </si>
  <si>
    <t>CROW PASS</t>
  </si>
  <si>
    <t>GLADSTONE PK</t>
  </si>
  <si>
    <t>DENALI / MT HUNTER</t>
  </si>
  <si>
    <t>DENALI / MT MCKINELY</t>
  </si>
  <si>
    <t>GAKONA GLACIER</t>
  </si>
  <si>
    <t>PRIEST LAKE</t>
  </si>
  <si>
    <t>YELLOWSTONE</t>
  </si>
  <si>
    <t>JACKSON</t>
  </si>
  <si>
    <t>CASCADE</t>
  </si>
  <si>
    <t>LOGAN CANYON BV FALL</t>
  </si>
  <si>
    <t>RESURRECTION PASS</t>
  </si>
  <si>
    <t>LOGAN CANYON</t>
  </si>
  <si>
    <t>MONTPEILER</t>
  </si>
  <si>
    <t>MT INDEX</t>
  </si>
  <si>
    <t>Misc Recreation</t>
  </si>
  <si>
    <t>Flagstaff Peak near ALTA</t>
  </si>
  <si>
    <t>CHAIR MOUNTAIN</t>
  </si>
  <si>
    <t>BOUNTIFUL PK</t>
  </si>
  <si>
    <t>MT HUNTER</t>
  </si>
  <si>
    <t>MT SAINT ELIAS</t>
  </si>
  <si>
    <t>LITTLE COTTONWOOD CN</t>
  </si>
  <si>
    <t>W YELLOWSTONE</t>
  </si>
  <si>
    <t>EAST VAIL CHUTES</t>
  </si>
  <si>
    <t>VAIL</t>
  </si>
  <si>
    <t>DELTA RANGE</t>
  </si>
  <si>
    <t>MISSION MTNS POULSON</t>
  </si>
  <si>
    <t>SUN VALLEY</t>
  </si>
  <si>
    <t>SALT MTN RNG</t>
  </si>
  <si>
    <t>TAOS</t>
  </si>
  <si>
    <t>ABASIN BEAVERS 2</t>
  </si>
  <si>
    <t>COTTONWOOD PASS</t>
  </si>
  <si>
    <t>SOLITUDE</t>
  </si>
  <si>
    <t>ASPEN PYRAMID PK</t>
  </si>
  <si>
    <t>ASPEN MCFARLANE BOWL</t>
  </si>
  <si>
    <t>CENTENIAL</t>
  </si>
  <si>
    <t>SNAKE RIV CNYN</t>
  </si>
  <si>
    <t>GALENA PASS</t>
  </si>
  <si>
    <t>VAIL PASS Narrows</t>
  </si>
  <si>
    <t>TIOGA PASS</t>
  </si>
  <si>
    <t>GLACIER NP</t>
  </si>
  <si>
    <t>PIKES PEAK</t>
  </si>
  <si>
    <t>MT ORVILLE GLAC BAY</t>
  </si>
  <si>
    <t>ANACONDA</t>
  </si>
  <si>
    <t>ENGINEER MTN</t>
  </si>
  <si>
    <t>DOUGLAS ISLAND</t>
  </si>
  <si>
    <t>RUBY CK, URAD MINE</t>
  </si>
  <si>
    <t>KENAI MTNS</t>
  </si>
  <si>
    <t>CONUNDRUM CREEK</t>
  </si>
  <si>
    <t>RS</t>
  </si>
  <si>
    <t>BIG COTTONWOOD CYN</t>
  </si>
  <si>
    <t>DRY GULCH</t>
  </si>
  <si>
    <t>Agassiz Peak, east of ARIZONA SNOWBOWL</t>
  </si>
  <si>
    <t>AZ</t>
  </si>
  <si>
    <t>MT BALDY</t>
  </si>
  <si>
    <t>MIDWAY</t>
  </si>
  <si>
    <t>KELBER PASS</t>
  </si>
  <si>
    <t>FRANCIES CABIN</t>
  </si>
  <si>
    <t>CUTLER BASIN, OGDEN</t>
  </si>
  <si>
    <t>MISSION RIDGE</t>
  </si>
  <si>
    <t>MT BELFORD</t>
  </si>
  <si>
    <t>COAL BANK PASS</t>
  </si>
  <si>
    <t>POWERLINE PASS, CHUG</t>
  </si>
  <si>
    <t>BOULDER CRK, KENAI</t>
  </si>
  <si>
    <t>GRAYS RIVER RD</t>
  </si>
  <si>
    <t>BRIGHTON</t>
  </si>
  <si>
    <t>PETERS RIDGE</t>
  </si>
  <si>
    <t>BARNARD GLACIER</t>
  </si>
  <si>
    <t>BLACKSTONE BAY</t>
  </si>
  <si>
    <t>BUFFALO MT</t>
  </si>
  <si>
    <t>WOLVERINE CIRQ</t>
  </si>
  <si>
    <t>CRESTED BUTTE</t>
  </si>
  <si>
    <t>ODYSSEY MT</t>
  </si>
  <si>
    <t>ST HWY 280</t>
  </si>
  <si>
    <t>Motorist</t>
  </si>
  <si>
    <t>PINE CRST</t>
  </si>
  <si>
    <t>TODD LAKE, near BEND</t>
  </si>
  <si>
    <t>TWOTOP MOUNTAIN</t>
  </si>
  <si>
    <t>10 MILE CANYON</t>
  </si>
  <si>
    <t>BRECKENRIDGE</t>
  </si>
  <si>
    <t>SUNDANCE</t>
  </si>
  <si>
    <t>SUNLIGHT</t>
  </si>
  <si>
    <t>EAST VAIL</t>
  </si>
  <si>
    <t>MISSOULA</t>
  </si>
  <si>
    <t>MAMMOTH LAKES</t>
  </si>
  <si>
    <t>STANLEY</t>
  </si>
  <si>
    <t>HEALY</t>
  </si>
  <si>
    <t>Rocky Mountain Nat Park / FLATTOP</t>
  </si>
  <si>
    <t>LOOKOUT PK</t>
  </si>
  <si>
    <t>S MAROON PK</t>
  </si>
  <si>
    <t>BERTHOUD PASS</t>
  </si>
  <si>
    <t>MONTEZUMA</t>
  </si>
  <si>
    <t>RED MOUNTAIN PASS</t>
  </si>
  <si>
    <t>LOST LAKE</t>
  </si>
  <si>
    <t>JED SMITH WILDX</t>
  </si>
  <si>
    <t>SNEFFELS RANGE</t>
  </si>
  <si>
    <t>BEAVER CREEK</t>
  </si>
  <si>
    <t>MT ROSE</t>
  </si>
  <si>
    <t>LA SAL MTNS</t>
  </si>
  <si>
    <t>LONGS PEAK RMNP</t>
  </si>
  <si>
    <t>LOVELAND PASS / GRIZZLY PK</t>
  </si>
  <si>
    <t>CASTLE CREEK</t>
  </si>
  <si>
    <t>MT WASHINGTON TUCKMANS</t>
  </si>
  <si>
    <t>COTTENWOOD PASS</t>
  </si>
  <si>
    <t>ARAPAHOE BASIN OB</t>
  </si>
  <si>
    <t>POWERLINE PASS</t>
  </si>
  <si>
    <t>TENMILE RANGE / FLETCHER MTN</t>
  </si>
  <si>
    <t>LAPLATA MTNS</t>
  </si>
  <si>
    <t>ALPINE MEADOWS / MUNCHKIN CHUTES / CHADS CLIFF</t>
  </si>
  <si>
    <t>RED MOUNTAIN PASS / OH BOY</t>
  </si>
  <si>
    <t>HOMER</t>
  </si>
  <si>
    <t>FREMONT PASS</t>
  </si>
  <si>
    <t>WEST YELLOWSTONE / LIONSHEAD MTN</t>
  </si>
  <si>
    <t>VAIL / OB MUSHROOM BOWL</t>
  </si>
  <si>
    <t>LOVELAND PASS</t>
  </si>
  <si>
    <t>RUBY MTNS</t>
  </si>
  <si>
    <t>MT HOOD MDWS</t>
  </si>
  <si>
    <t>TELLURIDE</t>
  </si>
  <si>
    <t>KENI PENINSULA / TINCAN PEAK</t>
  </si>
  <si>
    <t>MT BLACKBURN</t>
  </si>
  <si>
    <t>MT RAINIER</t>
  </si>
  <si>
    <t>ASHCROFT / PEARL PASS</t>
  </si>
  <si>
    <t>BERTHOUD PASS 2ND CREEK</t>
  </si>
  <si>
    <t>EXIT GLACIER</t>
  </si>
  <si>
    <t>MT BORAH</t>
  </si>
  <si>
    <t>DENALI / MT FORAKER</t>
  </si>
  <si>
    <t>SHRINE PASS</t>
  </si>
  <si>
    <t>WOLF CREEK PASS / TREASURE MTN</t>
  </si>
  <si>
    <t>MT ELLIS</t>
  </si>
  <si>
    <t>ALTA</t>
  </si>
  <si>
    <t>VAIL (ob)</t>
  </si>
  <si>
    <t>2 backcountry snowboarders caught, 1 partially buried and injured, 1 buried and killed</t>
  </si>
  <si>
    <t>TWIN LAKES</t>
  </si>
  <si>
    <t>PROVO CANYON</t>
  </si>
  <si>
    <t>SUGAR BOWL</t>
  </si>
  <si>
    <t>FRENCH GULCH</t>
  </si>
  <si>
    <t>LA PLATA MTNS</t>
  </si>
  <si>
    <t>Miner</t>
  </si>
  <si>
    <t>CATHERINES PASS</t>
  </si>
  <si>
    <t>WHITEHORSE MTN</t>
  </si>
  <si>
    <t>PARK CITY</t>
  </si>
  <si>
    <t>EAGLE RIVER</t>
  </si>
  <si>
    <t>POWDER MTN</t>
  </si>
  <si>
    <t>ROBERTS</t>
  </si>
  <si>
    <t>LOLO PASS</t>
  </si>
  <si>
    <t>MT SI</t>
  </si>
  <si>
    <t>SNOWY RANGE</t>
  </si>
  <si>
    <t>GRAND TETON</t>
  </si>
  <si>
    <t>ASHCROFT</t>
  </si>
  <si>
    <t>ASPEN</t>
  </si>
  <si>
    <t>KELSO MTN</t>
  </si>
  <si>
    <t>ELK MTNS</t>
  </si>
  <si>
    <t>SOURCE LAKE</t>
  </si>
  <si>
    <t>MARBLE / CHAIR MTN</t>
  </si>
  <si>
    <t>EAGLE PK, CHUG</t>
  </si>
  <si>
    <t>DALLAS DIVIDE</t>
  </si>
  <si>
    <t>VAIL PASS</t>
  </si>
  <si>
    <t>SNOW KING</t>
  </si>
  <si>
    <t>MT KATAHDIN</t>
  </si>
  <si>
    <t>ME</t>
  </si>
  <si>
    <t>Town of Steamboat</t>
  </si>
  <si>
    <t>COPPER MOUNTAIN</t>
  </si>
  <si>
    <t>MT SHUKSAN</t>
  </si>
  <si>
    <t>GRANITE MT</t>
  </si>
  <si>
    <t>MT SHASTA</t>
  </si>
  <si>
    <t>GRAND LAKE</t>
  </si>
  <si>
    <t>DEER CREEK</t>
  </si>
  <si>
    <t>BOZEMAN CREEK</t>
  </si>
  <si>
    <t>WOLF CREEK PASS</t>
  </si>
  <si>
    <t>BIG SKY</t>
  </si>
  <si>
    <t>MONTPELIER</t>
  </si>
  <si>
    <t>DENALI / MT MCKINLEY</t>
  </si>
  <si>
    <t>ALPINE MDWS</t>
  </si>
  <si>
    <t>PARK WEST</t>
  </si>
  <si>
    <t>ANEROID LAKE</t>
  </si>
  <si>
    <t>Rescuer</t>
  </si>
  <si>
    <t>CUMBRES PASS</t>
  </si>
  <si>
    <t>D. L. BLISS</t>
  </si>
  <si>
    <t>LEADVILLE</t>
  </si>
  <si>
    <t>CHUGACH</t>
  </si>
  <si>
    <t>RED LODGE</t>
  </si>
  <si>
    <t>SNOWMASS</t>
  </si>
  <si>
    <t>MILLCREEK CN</t>
  </si>
  <si>
    <t>SCHWEITZER</t>
  </si>
  <si>
    <t>LAMOILLE</t>
  </si>
  <si>
    <t>BIG COTTONWOOD</t>
  </si>
  <si>
    <t>BIG MOUNTAIN</t>
  </si>
  <si>
    <t>B COTTONWOOD</t>
  </si>
  <si>
    <t>MAMMOTH MT</t>
  </si>
  <si>
    <t>DESOLATION LK</t>
  </si>
  <si>
    <t>LOVELAND BASIN</t>
  </si>
  <si>
    <t>STEVENS PASS</t>
  </si>
  <si>
    <t>HELPER</t>
  </si>
  <si>
    <t>MN</t>
  </si>
  <si>
    <t>MT SOPRIS</t>
  </si>
  <si>
    <t>LOST CANYON</t>
  </si>
  <si>
    <t>SHEEP MT</t>
  </si>
  <si>
    <t>EL DIENTE PK</t>
  </si>
  <si>
    <t>S ARAPAHOE PK</t>
  </si>
  <si>
    <t>SHEEP CREEK</t>
  </si>
  <si>
    <t>VALDEZ</t>
  </si>
  <si>
    <t>ROCKY MOUNTAIN NAT PARK</t>
  </si>
  <si>
    <t>BIG FOUR MT</t>
  </si>
  <si>
    <t>MT NAST</t>
  </si>
  <si>
    <t>SILVER PEAK</t>
  </si>
  <si>
    <t>GRAND TARGHEE</t>
  </si>
  <si>
    <t>ALPINE MEADOWS</t>
  </si>
  <si>
    <t>BRIDGEPORT</t>
  </si>
  <si>
    <t>MT MARATHON</t>
  </si>
  <si>
    <t>JACKSON PEAK</t>
  </si>
  <si>
    <t>POCATELLO</t>
  </si>
  <si>
    <t>JUNEAU</t>
  </si>
  <si>
    <t>PORTAGE</t>
  </si>
  <si>
    <t>MT ST HELENS</t>
  </si>
  <si>
    <t>HECLA</t>
  </si>
  <si>
    <t>MCGINNIS GL</t>
  </si>
  <si>
    <t>CENTENNIAL</t>
  </si>
  <si>
    <t>OWEN CREEK</t>
  </si>
  <si>
    <t>GARFIELD</t>
  </si>
  <si>
    <t>MONARCH PASS</t>
  </si>
  <si>
    <t>HEAVENLY VAL</t>
  </si>
  <si>
    <t>TANAINA PEAK</t>
  </si>
  <si>
    <t>FLATTOP MT</t>
  </si>
  <si>
    <t>PARKCITYWEST</t>
  </si>
  <si>
    <t>TAOS SKIVALLEY</t>
  </si>
  <si>
    <t>STEAMBOAT</t>
  </si>
  <si>
    <t>YOSEMITE</t>
  </si>
  <si>
    <t>MITCHELL LAKE</t>
  </si>
  <si>
    <t>MT GARFIELD</t>
  </si>
  <si>
    <t>POLE CREEK</t>
  </si>
  <si>
    <t>EKLUTNA GLAC</t>
  </si>
  <si>
    <t>ASPEN MTN (McFarlane Gulch)</t>
  </si>
  <si>
    <t>WILLOW CREEK</t>
  </si>
  <si>
    <t>SNOQUALMIE PS</t>
  </si>
  <si>
    <t>ALUM CREEK</t>
  </si>
  <si>
    <t>GLACIER</t>
  </si>
  <si>
    <t>BLACKFOOT R</t>
  </si>
  <si>
    <t>KYLE CANYON</t>
  </si>
  <si>
    <t>MINERAL KING</t>
  </si>
  <si>
    <t>SLIDE MT</t>
  </si>
  <si>
    <t>ROCK CANYON</t>
  </si>
  <si>
    <t>SKYLINE</t>
  </si>
  <si>
    <t>PARLEY'S CN</t>
  </si>
  <si>
    <t>GENEVA BASIN</t>
  </si>
  <si>
    <t>MORROW POINTDAM</t>
  </si>
  <si>
    <t>HOMESTAKE LAKE</t>
  </si>
  <si>
    <t>SNOWBANK MOUNTAIN</t>
  </si>
  <si>
    <t>Vehicle</t>
  </si>
  <si>
    <t>SNOW BASIN</t>
  </si>
  <si>
    <t>Ranger</t>
  </si>
  <si>
    <t>SQUAW VALLEY</t>
  </si>
  <si>
    <t>SNOW KING MT</t>
  </si>
  <si>
    <t>LUNDIN PK</t>
  </si>
  <si>
    <t>TABERG</t>
  </si>
  <si>
    <t>BIG FOUR MTN</t>
  </si>
  <si>
    <t>SWIFT CREEK</t>
  </si>
  <si>
    <t>SAWATCH / LA PLATA PEAK</t>
  </si>
  <si>
    <t>SUPERIOR CREEK</t>
  </si>
  <si>
    <t>BERTHOUD PASS (Floral Park)</t>
  </si>
  <si>
    <t>CAMP BIRD HWY</t>
  </si>
  <si>
    <t>DAM SLIDE</t>
  </si>
  <si>
    <t>GRANITE MTN. SNOQUAL</t>
  </si>
  <si>
    <t>ST MARYS LAKE</t>
  </si>
  <si>
    <t>WARDNER</t>
  </si>
  <si>
    <t>LEEKS CANYON</t>
  </si>
  <si>
    <t>MACE</t>
  </si>
  <si>
    <t>TUCKERMAN RAVINE</t>
  </si>
  <si>
    <t>MOON PASS</t>
  </si>
  <si>
    <t>SEWARD HWY</t>
  </si>
  <si>
    <t>COBALT</t>
  </si>
  <si>
    <t>TWIN BRIDGES</t>
  </si>
  <si>
    <t>SILVERTON</t>
  </si>
  <si>
    <t>Please cite the CAIC 2022 for all use</t>
  </si>
  <si>
    <t>This file is maintained by:</t>
  </si>
  <si>
    <t>Spencer Logan</t>
  </si>
  <si>
    <t>Colorado Avalanche Information Center</t>
  </si>
  <si>
    <t>spencer dot logan at state dot co dot us</t>
  </si>
  <si>
    <t>Recent revision efforts benefitted from:</t>
  </si>
  <si>
    <t>Ethan Davis</t>
  </si>
  <si>
    <t>Corrections for Idaho</t>
  </si>
  <si>
    <t>Gabrielle Antionolli</t>
  </si>
  <si>
    <t>Reconcilition with Snowy Torrents 1996-2004</t>
  </si>
  <si>
    <t>Linda George</t>
  </si>
  <si>
    <t>Erich Peitzsch</t>
  </si>
  <si>
    <t>Peitzsch et al. 2019. "How old are the people who die in avalanches? A look into the ages of avalanche victims in the United States (1950-2018)." Journal of Outdoor Recreation and Tourism</t>
  </si>
  <si>
    <t>blase reardon</t>
  </si>
  <si>
    <t>Annual Fatalities</t>
  </si>
  <si>
    <t>5 Year average</t>
  </si>
  <si>
    <t>Avalanche Year</t>
  </si>
  <si>
    <t>Grand Total</t>
  </si>
  <si>
    <t>1951 on</t>
  </si>
  <si>
    <t>Since 2013-14</t>
  </si>
  <si>
    <t>2013-14 on</t>
  </si>
  <si>
    <t>&lt;-Current Year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</si>
  <si>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</si>
  <si>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</si>
  <si>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</si>
  <si>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</si>
  <si>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</si>
  <si>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</si>
  <si>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</si>
  <si>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</si>
  <si>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</si>
  <si>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</si>
  <si>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</si>
  <si>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</si>
  <si>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1950-51 to 2022-23</t>
  </si>
  <si>
    <t>2002-03 to 2021-22</t>
  </si>
  <si>
    <t>Colorado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</si>
</sst>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M/d/yyyy"/>
  </numFmts>
  <fonts count="5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FFFFFF"/>
      </top>
    </border>
    <border>
      <left/>
      <right/>
      <top style="thin">
        <color rgb="FF95B3D7"/>
      </top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1" numFmtId="14" xfId="0" applyFont="1" applyNumberForma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0" fontId="3" numFmtId="0" xfId="0" applyAlignment="1" applyBorder="1" applyFont="1">
      <alignment horizontal="left"/>
    </xf>
    <xf borderId="3" fillId="0" fontId="3" numFmtId="0" xfId="0" applyAlignment="1" applyBorder="1" applyFont="1">
      <alignment horizontal="left"/>
    </xf>
    <xf borderId="4" fillId="0" fontId="3" numFmtId="0" xfId="0" applyBorder="1" applyFont="1"/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1" numFmtId="2" xfId="0" applyFont="1" applyNumberFormat="1"/>
    <xf borderId="5" fillId="2" fontId="3" numFmtId="0" xfId="0" applyBorder="1" applyFill="1" applyFont="1"/>
    <xf borderId="0" fillId="3" fontId="4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Avalanche Year
1950-51 to 2022-23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'US by Season'!$B$3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dPt>
            <c:idx val="70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sans-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'US by Season'!$A$4:$A$76</c:f>
            </c:strRef>
          </c:cat>
          <c:val>
            <c:numRef>
              <c:f>'US by Season'!$B$4:$B$76</c:f>
              <c:numCache/>
            </c:numRef>
          </c:val>
        </c:ser>
        <c:axId val="280682330"/>
        <c:axId val="1949893890"/>
      </c:barChart>
      <c:lineChart>
        <c:varyColors val="0"/>
        <c:ser>
          <c:idx val="1"/>
          <c:order val="1"/>
          <c:tx>
            <c:strRef>
              <c:f>'US by Season'!$C$3</c:f>
            </c:strRef>
          </c:tx>
          <c:spPr>
            <a:ln cmpd="sng" w="38100">
              <a:solidFill>
                <a:srgbClr val="CC2228"/>
              </a:solidFill>
            </a:ln>
          </c:spPr>
          <c:marker>
            <c:symbol val="none"/>
          </c:marker>
          <c:cat>
            <c:strRef>
              <c:f>'US by Season'!$A$4:$A$76</c:f>
            </c:strRef>
          </c:cat>
          <c:val>
            <c:numRef>
              <c:f>'US by Season'!$C$4:$C$76</c:f>
              <c:numCache/>
            </c:numRef>
          </c:val>
          <c:smooth val="1"/>
        </c:ser>
        <c:axId val="280682330"/>
        <c:axId val="1949893890"/>
      </c:lineChart>
      <c:catAx>
        <c:axId val="280682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Verdana"/>
                  </a:rPr>
                  <a:t>Avalanche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949893890"/>
      </c:catAx>
      <c:valAx>
        <c:axId val="1949893890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28068233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Verdana"/>
              </a:defRPr>
            </a:pPr>
            <a:r>
              <a:rPr b="1" i="0" sz="1600">
                <a:solidFill>
                  <a:srgbClr val="757575"/>
                </a:solidFill>
                <a:latin typeface="Verdana"/>
              </a:rPr>
              <a:t>Colorado Avalanche Fatalities by Month
2013-14 to 2022-23</a:t>
            </a:r>
          </a:p>
        </c:rich>
      </c:tx>
      <c:overlay val="0"/>
    </c:title>
    <c:plotArea>
      <c:layout>
        <c:manualLayout>
          <c:xMode val="edge"/>
          <c:yMode val="edge"/>
          <c:x val="0.08383100596529286"/>
          <c:y val="0.2829861111111111"/>
          <c:w val="0.8849325515184383"/>
          <c:h val="0.604513888888889"/>
        </c:manualLayout>
      </c:layout>
      <c:barChart>
        <c:barDir val="col"/>
        <c:ser>
          <c:idx val="0"/>
          <c:order val="0"/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Month'!$B$12:$M$12</c:f>
            </c:strRef>
          </c:cat>
          <c:val>
            <c:numRef>
              <c:f>'By Month'!$B$14:$M$14</c:f>
              <c:numCache/>
            </c:numRef>
          </c:val>
        </c:ser>
        <c:axId val="790181305"/>
        <c:axId val="537293084"/>
      </c:barChart>
      <c:catAx>
        <c:axId val="7901813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537293084"/>
      </c:catAx>
      <c:valAx>
        <c:axId val="537293084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790181305"/>
      </c:valAx>
      <c:spPr>
        <a:solidFill>
          <a:srgbClr val="FFFFFF"/>
        </a:solidFill>
      </c:spPr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757575"/>
                </a:solidFill>
                <a:latin typeface="Verdana"/>
              </a:defRPr>
            </a:pPr>
            <a:r>
              <a:rPr b="1" i="0" sz="1600">
                <a:solidFill>
                  <a:srgbClr val="757575"/>
                </a:solidFill>
                <a:latin typeface="Verdana"/>
              </a:rPr>
              <a:t>Colorado Avalanche Fatalities by Month 1950-51 to 2022-23</a:t>
            </a:r>
          </a:p>
        </c:rich>
      </c:tx>
      <c:overlay val="0"/>
    </c:title>
    <c:plotArea>
      <c:layout>
        <c:manualLayout>
          <c:xMode val="edge"/>
          <c:yMode val="edge"/>
          <c:x val="0.08383100596529286"/>
          <c:y val="0.2829861111111111"/>
          <c:w val="0.8849325515184383"/>
          <c:h val="0.604513888888889"/>
        </c:manualLayout>
      </c:layout>
      <c:barChart>
        <c:barDir val="col"/>
        <c:ser>
          <c:idx val="0"/>
          <c:order val="0"/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Month'!$B$12:$M$12</c:f>
            </c:strRef>
          </c:cat>
          <c:val>
            <c:numRef>
              <c:f>'By Month'!$B$13:$M$13</c:f>
              <c:numCache/>
            </c:numRef>
          </c:val>
        </c:ser>
        <c:axId val="1685049612"/>
        <c:axId val="653150903"/>
      </c:barChart>
      <c:catAx>
        <c:axId val="1685049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653150903"/>
      </c:catAx>
      <c:valAx>
        <c:axId val="65315090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685049612"/>
      </c:valAx>
      <c:spPr>
        <a:solidFill>
          <a:srgbClr val="FFFFFF"/>
        </a:solidFill>
      </c:spPr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Avalanche Year
2003-04 to 2022-23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'US by Season'!$F$56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cat>
            <c:strRef>
              <c:f>'US by Season'!$E$57:$E$76</c:f>
            </c:strRef>
          </c:cat>
          <c:val>
            <c:numRef>
              <c:f>'US by Season'!$F$57:$F$76</c:f>
              <c:numCache/>
            </c:numRef>
          </c:val>
        </c:ser>
        <c:axId val="960606879"/>
        <c:axId val="1694017752"/>
      </c:barChart>
      <c:lineChart>
        <c:varyColors val="0"/>
        <c:ser>
          <c:idx val="1"/>
          <c:order val="1"/>
          <c:tx>
            <c:strRef>
              <c:f>'US by Season'!$G$56</c:f>
            </c:strRef>
          </c:tx>
          <c:spPr>
            <a:ln cmpd="sng" w="38100">
              <a:solidFill>
                <a:srgbClr val="CC2228"/>
              </a:solidFill>
            </a:ln>
          </c:spPr>
          <c:marker>
            <c:symbol val="none"/>
          </c:marker>
          <c:cat>
            <c:strRef>
              <c:f>'US by Season'!$E$57:$E$76</c:f>
            </c:strRef>
          </c:cat>
          <c:val>
            <c:numRef>
              <c:f>'US by Season'!$G$57:$G$76</c:f>
              <c:numCache/>
            </c:numRef>
          </c:val>
          <c:smooth val="1"/>
        </c:ser>
        <c:axId val="960606879"/>
        <c:axId val="1694017752"/>
      </c:lineChart>
      <c:catAx>
        <c:axId val="960606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 sz="1600">
                    <a:solidFill>
                      <a:srgbClr val="000000"/>
                    </a:solidFill>
                    <a:latin typeface="Verdana"/>
                  </a:rPr>
                  <a:t>Avalanche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694017752"/>
      </c:catAx>
      <c:valAx>
        <c:axId val="1694017752"/>
        <c:scaling>
          <c:orientation val="minMax"/>
          <c:max val="4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960606879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Colorado Avalanche Fatalities by Avalanche Year
1950-51 to 2022-23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 by Season'!$B$3</c:f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000">
                    <a:solidFill>
                      <a:srgbClr val="000000"/>
                    </a:solidFill>
                    <a:latin typeface="sans-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 by Season'!$A$4:$A$76</c:f>
            </c:strRef>
          </c:cat>
          <c:val>
            <c:numRef>
              <c:f>'CO by Season'!$B$4:$B$76</c:f>
              <c:numCache/>
            </c:numRef>
          </c:val>
        </c:ser>
        <c:axId val="1032963863"/>
        <c:axId val="745155601"/>
      </c:barChart>
      <c:lineChart>
        <c:varyColors val="0"/>
        <c:ser>
          <c:idx val="1"/>
          <c:order val="1"/>
          <c:tx>
            <c:strRef>
              <c:f>'CO by Season'!$C$3</c:f>
            </c:strRef>
          </c:tx>
          <c:spPr>
            <a:ln cmpd="sng" w="38100">
              <a:solidFill>
                <a:srgbClr val="CC2228"/>
              </a:solidFill>
            </a:ln>
          </c:spPr>
          <c:marker>
            <c:symbol val="none"/>
          </c:marker>
          <c:cat>
            <c:strRef>
              <c:f>'CO by Season'!$A$4:$A$76</c:f>
            </c:strRef>
          </c:cat>
          <c:val>
            <c:numRef>
              <c:f>'CO by Season'!$C$4:$C$76</c:f>
              <c:numCache/>
            </c:numRef>
          </c:val>
          <c:smooth val="1"/>
        </c:ser>
        <c:axId val="1032963863"/>
        <c:axId val="745155601"/>
      </c:lineChart>
      <c:catAx>
        <c:axId val="1032963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Avalanche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745155601"/>
      </c:catAx>
      <c:valAx>
        <c:axId val="745155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03296386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State
1950-51 to 2022-23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'By State'!$B$2</c:f>
            </c:strRef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State'!$A$3:$A$19</c:f>
            </c:strRef>
          </c:cat>
          <c:val>
            <c:numRef>
              <c:f>'By State'!$B$3:$B$19</c:f>
              <c:numCache/>
            </c:numRef>
          </c:val>
        </c:ser>
        <c:overlap val="100"/>
        <c:axId val="2104027969"/>
        <c:axId val="1012300363"/>
      </c:barChart>
      <c:catAx>
        <c:axId val="210402796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012300363"/>
      </c:catAx>
      <c:valAx>
        <c:axId val="10123003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2104027969"/>
        <c:crosses val="max"/>
      </c:valAx>
      <c:spPr>
        <a:solidFill>
          <a:srgbClr val="FFFFFF"/>
        </a:solidFill>
      </c:spPr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State
2013-14 to 2022-23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'By State'!$L$2</c:f>
            </c:strRef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State'!$K$3:$K$14</c:f>
            </c:strRef>
          </c:cat>
          <c:val>
            <c:numRef>
              <c:f>'By State'!$L$3:$L$14</c:f>
              <c:numCache/>
            </c:numRef>
          </c:val>
        </c:ser>
        <c:axId val="1139905883"/>
        <c:axId val="1476746371"/>
      </c:barChart>
      <c:catAx>
        <c:axId val="11399058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476746371"/>
      </c:catAx>
      <c:valAx>
        <c:axId val="1476746371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139905883"/>
        <c:crosses val="max"/>
      </c:valAx>
      <c:spPr>
        <a:solidFill>
          <a:srgbClr val="FFFFFF"/>
        </a:solidFill>
      </c:spPr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Activity
1950-51 to 2022-23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'By Activity'!$B$2</c:f>
            </c:strRef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Activity'!$A$3:$A$26</c:f>
            </c:strRef>
          </c:cat>
          <c:val>
            <c:numRef>
              <c:f>'By Activity'!$B$3:$B$26</c:f>
              <c:numCache/>
            </c:numRef>
          </c:val>
        </c:ser>
        <c:axId val="2088169663"/>
        <c:axId val="698405123"/>
      </c:barChart>
      <c:catAx>
        <c:axId val="208816966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698405123"/>
      </c:catAx>
      <c:valAx>
        <c:axId val="6984051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2088169663"/>
        <c:crosses val="max"/>
      </c:valAx>
      <c:spPr>
        <a:solidFill>
          <a:srgbClr val="FFFFFF"/>
        </a:solidFill>
      </c:spPr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Activity
2013-14 to 2022-23</a:t>
            </a:r>
          </a:p>
        </c:rich>
      </c:tx>
      <c:overlay val="0"/>
    </c:title>
    <c:plotArea>
      <c:layout>
        <c:manualLayout>
          <c:xMode val="edge"/>
          <c:yMode val="edge"/>
          <c:x val="0.23337883959044367"/>
          <c:y val="0.17182890855457225"/>
          <c:w val="0.7009215017064847"/>
          <c:h val="0.6719764011799411"/>
        </c:manualLayout>
      </c:layout>
      <c:barChart>
        <c:barDir val="bar"/>
        <c:ser>
          <c:idx val="0"/>
          <c:order val="0"/>
          <c:tx>
            <c:strRef>
              <c:f>'By Activity'!$L$2</c:f>
            </c:strRef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Activity'!$K$3:$K$14</c:f>
            </c:strRef>
          </c:cat>
          <c:val>
            <c:numRef>
              <c:f>'By Activity'!$L$3:$L$14</c:f>
              <c:numCache/>
            </c:numRef>
          </c:val>
        </c:ser>
        <c:axId val="118593318"/>
        <c:axId val="32418434"/>
      </c:barChart>
      <c:catAx>
        <c:axId val="1185933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32418434"/>
      </c:catAx>
      <c:valAx>
        <c:axId val="3241843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18593318"/>
        <c:crosses val="max"/>
      </c:valAx>
      <c:spPr>
        <a:solidFill>
          <a:srgbClr val="FFFFFF"/>
        </a:solidFill>
      </c:spPr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Month
1950-51 to 2022-23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'By Month'!$A$4</c:f>
            </c:strRef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Month'!$B$3:$M$3</c:f>
            </c:strRef>
          </c:cat>
          <c:val>
            <c:numRef>
              <c:f>'By Month'!$B$4:$M$4</c:f>
              <c:numCache/>
            </c:numRef>
          </c:val>
        </c:ser>
        <c:axId val="380703569"/>
        <c:axId val="1026600591"/>
      </c:barChart>
      <c:catAx>
        <c:axId val="380703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026600591"/>
      </c:catAx>
      <c:valAx>
        <c:axId val="1026600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380703569"/>
      </c:valAx>
      <c:spPr>
        <a:solidFill>
          <a:srgbClr val="FFFFFF"/>
        </a:solidFill>
      </c:spPr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Month
2013-14 to 2022-23</a:t>
            </a:r>
          </a:p>
        </c:rich>
      </c:tx>
      <c:overlay val="0"/>
    </c:title>
    <c:plotArea>
      <c:layout>
        <c:manualLayout>
          <c:xMode val="edge"/>
          <c:yMode val="edge"/>
          <c:x val="0.08383100596529286"/>
          <c:y val="0.2829861111111111"/>
          <c:w val="0.8849325515184383"/>
          <c:h val="0.604513888888889"/>
        </c:manualLayout>
      </c:layout>
      <c:barChart>
        <c:barDir val="col"/>
        <c:ser>
          <c:idx val="0"/>
          <c:order val="0"/>
          <c:tx>
            <c:strRef>
              <c:f>'By Month'!$A$5</c:f>
            </c:strRef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'By Month'!$B$3:$M$3</c:f>
            </c:strRef>
          </c:cat>
          <c:val>
            <c:numRef>
              <c:f>'By Month'!$B$5:$M$5</c:f>
              <c:numCache/>
            </c:numRef>
          </c:val>
        </c:ser>
        <c:axId val="40389962"/>
        <c:axId val="113255871"/>
      </c:barChart>
      <c:catAx>
        <c:axId val="40389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13255871"/>
      </c:catAx>
      <c:valAx>
        <c:axId val="113255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40389962"/>
      </c:valAx>
      <c:spPr>
        <a:solidFill>
          <a:srgbClr val="FFFFFF"/>
        </a:solidFill>
      </c:spPr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</xdr:row>
      <xdr:rowOff>0</xdr:rowOff>
    </xdr:from>
    <xdr:ext cx="9010650" cy="6591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9525</xdr:colOff>
      <xdr:row>36</xdr:row>
      <xdr:rowOff>190500</xdr:rowOff>
    </xdr:from>
    <xdr:ext cx="9010650" cy="6591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133350</xdr:colOff>
      <xdr:row>1</xdr:row>
      <xdr:rowOff>0</xdr:rowOff>
    </xdr:from>
    <xdr:ext cx="969645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0</xdr:row>
      <xdr:rowOff>0</xdr:rowOff>
    </xdr:from>
    <xdr:ext cx="5934075" cy="4305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123825</xdr:colOff>
      <xdr:row>0</xdr:row>
      <xdr:rowOff>0</xdr:rowOff>
    </xdr:from>
    <xdr:ext cx="6010275" cy="41624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219075</xdr:colOff>
      <xdr:row>0</xdr:row>
      <xdr:rowOff>0</xdr:rowOff>
    </xdr:from>
    <xdr:ext cx="6610350" cy="43053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276225</xdr:colOff>
      <xdr:row>0</xdr:row>
      <xdr:rowOff>0</xdr:rowOff>
    </xdr:from>
    <xdr:ext cx="5581650" cy="43053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28575</xdr:colOff>
      <xdr:row>1</xdr:row>
      <xdr:rowOff>0</xdr:rowOff>
    </xdr:from>
    <xdr:ext cx="4391025" cy="27432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333375</xdr:colOff>
      <xdr:row>1</xdr:row>
      <xdr:rowOff>0</xdr:rowOff>
    </xdr:from>
    <xdr:ext cx="4391025" cy="27432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333375</xdr:colOff>
      <xdr:row>18</xdr:row>
      <xdr:rowOff>0</xdr:rowOff>
    </xdr:from>
    <xdr:ext cx="4391025" cy="27432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28575</xdr:colOff>
      <xdr:row>18</xdr:row>
      <xdr:rowOff>0</xdr:rowOff>
    </xdr:from>
    <xdr:ext cx="4391025" cy="27432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982" sheet="Data"/>
  </cacheSource>
  <cacheFields>
    <cacheField name="AvyYear" numFmtId="0">
      <sharedItems containsSemiMixedTypes="0" containsString="0" containsNumber="1" containsInteger="1">
        <n v="2023.0"/>
        <n v="2022.0"/>
        <n v="2021.0"/>
        <n v="2020.0"/>
        <n v="2019.0"/>
        <n v="2018.0"/>
        <n v="2017.0"/>
        <n v="2016.0"/>
        <n v="2015.0"/>
        <n v="2014.0"/>
        <n v="2013.0"/>
        <n v="2012.0"/>
        <n v="2011.0"/>
        <n v="2010.0"/>
        <n v="2009.0"/>
        <n v="2008.0"/>
        <n v="2007.0"/>
        <n v="2006.0"/>
        <n v="2005.0"/>
        <n v="2004.0"/>
        <n v="2003.0"/>
        <n v="2002.0"/>
        <n v="2001.0"/>
        <n v="2000.0"/>
        <n v="1999.0"/>
        <n v="1998.0"/>
        <n v="1997.0"/>
        <n v="1996.0"/>
        <n v="1995.0"/>
        <n v="1994.0"/>
        <n v="1993.0"/>
        <n v="1992.0"/>
        <n v="1991.0"/>
        <n v="1990.0"/>
        <n v="1989.0"/>
        <n v="1988.0"/>
        <n v="1987.0"/>
        <n v="1986.0"/>
        <n v="1985.0"/>
        <n v="1984.0"/>
        <n v="1983.0"/>
        <n v="1982.0"/>
        <n v="1981.0"/>
        <n v="1980.0"/>
        <n v="1979.0"/>
        <n v="1978.0"/>
        <n v="1977.0"/>
        <n v="1976.0"/>
        <n v="1975.0"/>
        <n v="1974.0"/>
        <n v="1973.0"/>
        <n v="1972.0"/>
        <n v="1971.0"/>
        <n v="1970.0"/>
        <n v="1969.0"/>
        <n v="1968.0"/>
        <n v="1967.0"/>
        <n v="1966.0"/>
        <n v="1965.0"/>
        <n v="1964.0"/>
        <n v="1963.0"/>
        <n v="1962.0"/>
        <n v="1961.0"/>
        <n v="1960.0"/>
        <n v="1959.0"/>
        <n v="1958.0"/>
        <n v="1957.0"/>
        <n v="1956.0"/>
        <n v="1955.0"/>
        <n v="1954.0"/>
        <n v="1953.0"/>
        <n v="1952.0"/>
        <n v="1951.0"/>
      </sharedItems>
    </cacheField>
    <cacheField name="YYYY" numFmtId="0">
      <sharedItems containsSemiMixedTypes="0" containsString="0" containsNumber="1" containsInteger="1">
        <n v="2023.0"/>
        <n v="2022.0"/>
        <n v="2021.0"/>
        <n v="2020.0"/>
        <n v="2019.0"/>
        <n v="2018.0"/>
        <n v="2017.0"/>
        <n v="2016.0"/>
        <n v="2015.0"/>
        <n v="2014.0"/>
        <n v="2013.0"/>
        <n v="2012.0"/>
        <n v="2011.0"/>
        <n v="2010.0"/>
        <n v="2009.0"/>
        <n v="2008.0"/>
        <n v="2007.0"/>
        <n v="2006.0"/>
        <n v="2005.0"/>
        <n v="2004.0"/>
        <n v="2003.0"/>
        <n v="2002.0"/>
        <n v="2001.0"/>
        <n v="2000.0"/>
        <n v="1999.0"/>
        <n v="1998.0"/>
        <n v="1997.0"/>
        <n v="1996.0"/>
        <n v="1995.0"/>
        <n v="1994.0"/>
        <n v="1993.0"/>
        <n v="1992.0"/>
        <n v="1991.0"/>
        <n v="1990.0"/>
        <n v="1989.0"/>
        <n v="1988.0"/>
        <n v="1987.0"/>
        <n v="1986.0"/>
        <n v="1985.0"/>
        <n v="1984.0"/>
        <n v="1983.0"/>
        <n v="1982.0"/>
        <n v="1981.0"/>
        <n v="1980.0"/>
        <n v="1979.0"/>
        <n v="1978.0"/>
        <n v="1977.0"/>
        <n v="1976.0"/>
        <n v="1975.0"/>
        <n v="1974.0"/>
        <n v="1973.0"/>
        <n v="1972.0"/>
        <n v="1971.0"/>
        <n v="1970.0"/>
        <n v="1969.0"/>
        <n v="1968.0"/>
        <n v="1967.0"/>
        <n v="1966.0"/>
        <n v="1965.0"/>
        <n v="1964.0"/>
        <n v="1963.0"/>
        <n v="1962.0"/>
        <n v="1961.0"/>
        <n v="1960.0"/>
        <n v="1959.0"/>
        <n v="1958.0"/>
        <n v="1957.0"/>
        <n v="1956.0"/>
        <n v="1955.0"/>
        <n v="1954.0"/>
        <n v="1953.0"/>
        <n v="1952.0"/>
        <n v="1951.0"/>
      </sharedItems>
    </cacheField>
    <cacheField name="MM" numFmtId="0">
      <sharedItems containsSemiMixedTypes="0" containsString="0" containsNumber="1" containsInteger="1">
        <n v="7.0"/>
        <n v="6.0"/>
        <n v="5.0"/>
        <n v="4.0"/>
        <n v="3.0"/>
        <n v="2.0"/>
        <n v="1.0"/>
        <n v="12.0"/>
        <n v="11.0"/>
        <n v="10.0"/>
        <n v="8.0"/>
        <n v="9.0"/>
      </sharedItems>
    </cacheField>
    <cacheField name="DD" numFmtId="0">
      <sharedItems containsSemiMixedTypes="0" containsString="0" containsNumber="1" containsInteger="1">
        <n v="2.0"/>
        <n v="14.0"/>
        <n v="5.0"/>
        <n v="4.0"/>
        <n v="29.0"/>
        <n v="17.0"/>
        <n v="27.0"/>
        <n v="22.0"/>
        <n v="19.0"/>
        <n v="16.0"/>
        <n v="15.0"/>
        <n v="12.0"/>
        <n v="9.0"/>
        <n v="25.0"/>
        <n v="23.0"/>
        <n v="7.0"/>
        <n v="31.0"/>
        <n v="26.0"/>
        <n v="6.0"/>
        <n v="8.0"/>
        <n v="24.0"/>
        <n v="11.0"/>
        <n v="13.0"/>
        <n v="20.0"/>
        <n v="18.0"/>
        <n v="3.0"/>
        <n v="1.0"/>
        <n v="30.0"/>
        <n v="28.0"/>
        <n v="10.0"/>
        <n v="21.0"/>
        <n v="0.0"/>
      </sharedItems>
    </cacheField>
    <cacheField name="Location" numFmtId="0">
      <sharedItems>
        <s v="Split Mountain, southwest of Big Pine"/>
        <s v="Hurd Peak, southwest of Bishop"/>
        <s v="West Ridge of the Moose's Tooth"/>
        <s v="Denali National Park, near Jenny Creek"/>
        <s v="Bald Mountain, southeast of Breckenridge"/>
        <s v="Big Cottonwood Creek, east of Sandy"/>
        <s v="Pole Canyon, Oquirrh Moutains"/>
        <s v="Trinity Lakes, east of Boise"/>
        <s v="Maroon Bowl, north of Highland Peak"/>
        <s v="Rapid Creek, southwest of Marble"/>
        <s v="Purgatory Creek, north of Durango"/>
        <s v="Paulina Peak, south of Bend"/>
        <s v="Red Mountain, northeast of Lowman"/>
        <s v="Observation Peak, Stanley Lake Creek Drainage"/>
        <s v="Upper Weber Canyon, southwest of Windy Ridge"/>
        <s v="Black Crater, west of Sisters"/>
        <s v="South of Vallecito Reservoir"/>
        <s v="Red Lakes Trailhead, near La Manga Pass"/>
        <s v="Poker Flats, Salt River Range"/>
        <s v="Colchuck Peak, southwest of Leavenworth"/>
        <s v="Mummy Mountain, Spring Mountain National Recreation Area"/>
        <s v="Pumphouse Lake, southwest of Rollins Pass"/>
        <s v="Crown Butte, north of Cooke City"/>
        <s v="Number 5, Carter Gulch southwest of Breckenridge"/>
        <s v="Nitro Chute, north of Berthoud Pass"/>
        <s v="Mount Meeker, Rocky Mountain National Park"/>
        <s v="Ice Face, southeast of Thompson Pass, Chugach Mountains"/>
        <s v="North Fork of Fish Creek, near Steamboat Springs"/>
        <s v="Pilot Knob, east of Lizard Head Pass"/>
        <s v="Game Creek Drainage, east of Victor Idaho"/>
        <s v="South Fork Miner Creek, Sierra Madre Mountains"/>
        <s v="Yule Creek"/>
        <s v="Miller Mountain, North of Cook City"/>
        <s v="Lionhead area near West Yellowstone"/>
        <s v="North Star Mountain, Hoosier Pass"/>
        <s v="Scotch Bonnet Mountain, north of Cooke City"/>
        <s v="Diamond Peaks, Cameron Pass"/>
        <s v="Relay Ridge near Ryan Peak"/>
        <s v="Silver Basin, closed portion of Crystal Mountain ski resort"/>
        <s v="Ruth Glacier, Denali National Park and Preserve"/>
        <s v="Matanuska Glacier"/>
        <s v="Lime Creek south of Edwards"/>
        <s v="Frog Lake Cliffs, north of Donner Pass"/>
        <s v="Tiger Peak, north of Burke"/>
        <s v="Broken Thumb Couloir, Peak 9,975 (25 Short), Grand Teton National Park"/>
        <s v="Near Sherman Peak, Southeast of Pocatello"/>
        <s v="Near Castle Lake, Ruby Mountains, Southeast of Elko"/>
        <s v="Smiley Creek Drainage, Smoky Mountains"/>
        <s v="Togwotee Pass, WY"/>
        <s v="Squaw Creek Drainage, Southeast of Alpine, WY"/>
        <s v="West of Ruby Mountain, southeast of Rand"/>
        <s v="Beehive Basin, north of Big Sky Montana"/>
        <s v="Near Mount Trelease, north of Loveland Pass"/>
        <s v="Knox Creek, Salmon la Sac area, near Cle Elum Lake"/>
        <s v="Wilson Glade, Mill Creek Canyon"/>
        <s v="Wounded Buck Creek, northwest of Wildcat Lake"/>
        <s v="Marvin’s West, East Vail backcountry southeast of Vail"/>
        <s v="Etna Summit, west of Etna"/>
        <s v="Bear Mountain, Chugach State Park"/>
        <s v="The Nose, Middle Fork Mineral Creek southeast of Ophir"/>
        <s v="Ammonoosuc Ravine, north of Mount Monroe"/>
        <s v="Squaretop, Park City Ridgeline"/>
        <s v="Dutch Draw, Park City Ridgeline"/>
        <s v="First Creek, north of Berthoud Pass"/>
        <s v="North Face of Battleship, southeast of Ophir"/>
        <s v="Near Ohio Pass, Anthracite Range"/>
        <s v="Near Sheep Pass, Salt River Range"/>
        <s v="Mount Emmons, west of Crested Butte"/>
        <s v="Point 12885 near Red Peak, west of Silverthorne"/>
        <s v="Austin Canyon, Snake River Range"/>
        <s v="Taylor Mountain, northwest of Teton Pass"/>
        <s v="North of Skyline Peak"/>
        <s v="Near Hatcher Pass"/>
        <s v="Unalaska Island"/>
        <s v="South Fork of Dickson Creek, east of Red and White Mountain"/>
        <s v="Boulder Creek Drainage, South of Cooper Landing"/>
        <s v="Near Blewett Pass"/>
        <s v="Uncompahgre Gorge, south of Ouray"/>
        <s v="Farmington Canyon, east of Farmington"/>
        <s v="Scott Peak, west of Lake Tahoe"/>
        <s v="Baker Creek drainage, Smoky Mountains"/>
        <s v="Rock Creek, Elkhorn Mountains"/>
        <s v="Wardner Peak, Bitterroot Mountains"/>
        <s v="Near Lake Dinah, west of Seeley Lake"/>
        <s v="Diamond Peaks, west of Cameron Pass"/>
        <s v="Raymond Cataract, Mount Washington"/>
        <s v="Lutak Inlet, north of Haines"/>
        <s v="Casper"/>
        <s v="Near Crescent Lake, Kenai Peninsula"/>
        <s v="Crested Butte South"/>
        <s v="Point 12118, east of Jones Pass"/>
        <s v="Breccia Cliffs, northwest of Togwotee Pass"/>
        <s v="Base Camp above Matterhorn Nordic trailhead, northeast of Lizard Head Pass"/>
        <s v="Truman Gulch, Bridger Range"/>
        <s v="Temptation avalanche path, Bear Creek, south of Telluride"/>
        <s v="Pearl Pass Road, Brush Creek Drainage"/>
        <s v="Humpy Peak, western Uinta Mountains"/>
        <s v="Circleville Mountain, Tushar Mountains"/>
        <s v="Near Bell Lake, Tobacco Root Mountains"/>
        <s v="Upper Palisades Lake, Snake River Range"/>
        <s v="East Face Laurel Peak, La Sal Mountains"/>
        <s v="Green Mountain, Express Creek"/>
        <s v="Electric Lake, Manti Skyline"/>
        <s v="Taos Ski Valley"/>
        <s v="Mount Leidy, southwest of Togwotee Pass"/>
        <s v="Upper Senator Beck Basin, northwest of Red Mountain Pass"/>
        <s v="South Waldron Creek, north of Teton Peak"/>
        <s v="Horse Creek, Wyoming Range"/>
        <s v="Upper Blackstone Glacier, south of Whittier"/>
        <s v="Northwest of East Leidy Mountain, west of Togwotee Pass"/>
        <s v="Saddle Peak, Bridger Range"/>
        <s v="Northwest of Glacier Peak, Middle Fork Swan River"/>
        <s v="Maroon Bowl, west of Aspen Highlands"/>
        <s v="Park Butte, south of Mount Baker"/>
        <s v="Setting Sun Mountain, north of the Methow Valley"/>
        <s v="Near Kirkwood Ski Resort"/>
        <s v="North Fork Teanaway, north of Cle Elum"/>
        <s v="Dude Mountain, north of Ketchikan"/>
        <s v="Snoqualmie Pass"/>
        <s v="Stampede Pass"/>
        <s v="Sheep Creek, west of Palisades"/>
        <s v="Ralph's Slide, Upper Rock Springs Canyon near Wilson"/>
        <s v="South of Red Mountain Pass, Sam's Trees"/>
        <s v="Southeast of Reas Peak, Centennial Range"/>
        <s v="Northwest of Reas Peak, Centennial Range"/>
        <s v="Cabin Creek, southern Madison Range"/>
        <s v="Commissary Ridge, Salt River Range"/>
        <s v="Marmot Mountain, Hatcher Pass"/>
        <s v="Imp Peak, southern Madison Range"/>
        <s v="Red Mountain, north of Snoqualmie Pass"/>
        <s v="North Pole"/>
        <s v="Hawkins Mountain, north of Cle Eleum"/>
        <s v="Near West Lost Lake, Flat Tops Wilderness area"/>
        <s v="McCoy Creek, Caribou Range east of Idaho Falls"/>
        <s v="Near Cooper Landing, Kenai Peninsula"/>
        <s v="Mt. Stanton, north of West Glacier"/>
        <s v="Near Crystal Mountain, south of Greenwater"/>
        <s v="West of White Pass Ski Area"/>
        <s v="East of Grand Targee Resort"/>
        <s v="Henderson Mountain, near Cooke City"/>
        <s v="Mt. Rose Chutes - Closed Area"/>
        <s v="Summit Lake area, Eastern Alaska Range"/>
        <s v="Cat Ski Mount Bailey"/>
        <s v="Chief Joseph Peak, Wallowa Mountains"/>
        <s v="Nelchina Glacier area"/>
        <s v="Island Park"/>
        <s v="Grand Targhee Resort"/>
        <s v="Big Horn Mountains near Sheridan Wyoming"/>
        <s v="Cottonwood Pass, west of Buena Vista"/>
        <s v="Lost Mine Creek, east of Wolf Creek Pass"/>
        <s v="Willow Draw near Park City Mountain Resort, Utah"/>
        <s v="Twin Lakes near Brundage Mountain"/>
        <s v="Mt Herman, northeast of Mount Baker"/>
        <s v="Rock Springs drainage, south of Jackson Hole Mountain Resort"/>
        <s v="Swede Creek area, Whitefish Range"/>
        <s v="Red Mountain, Clear Creek County"/>
        <s v="Gobblers Knob, Big Cottonwood Canyon"/>
        <s v="Ruby Peak, Ruby Range west of Crested Butte"/>
        <s v="Pyramid Peak, Teton Range"/>
        <s v="Cedar Basin, west of Big Sky"/>
        <s v="Skyscraper Mountain, Hatcher Pass"/>
        <s v="St Marys Lake, Front Range"/>
        <s v="Backcountry near Sugar Bowl Ski Resort"/>
        <s v="Grubstake Gulch, southwest of Hatcher Pass"/>
        <s v="Granite Mountain near Snoqualmie Pass"/>
        <s v="Kendall Peak, Snoqualmie Pass"/>
        <s v="Sheep Mountain, north of Cooke City"/>
        <s v="Eldorado Bowl, Hatcher Pass"/>
        <s v="Mt Russell, John Muir Wilderness"/>
        <s v="Sickle Couloir, Mount Moran"/>
        <s v="Beehive Peak, northern Madison Range"/>
        <s v="North of Tebay Lakes, Wrangell-St. Elias National Park and Preserve"/>
        <s v="Alaska - Squaw Creek, near Cantwell"/>
        <s v="Hells Canyon, near Snowbasin Ski Resort"/>
        <s v="Peter Barker path, near Aspen Mountain"/>
        <s v="Rabbit Ears path, Kendall Mountain"/>
        <s v="Kelso Mountain"/>
        <s v="Rainbow Ridge area, Delta Range"/>
        <s v="Near Henderson Peak, Cooke City"/>
        <s v="Liberty Ridge, Mount Rainier"/>
        <s v="North face of Mount Shuksan"/>
        <s v="Olson Gulch, west of Anaconda"/>
        <s v="Crater Lake National Park"/>
        <s v="Granite Mountain"/>
        <s v="Kicking Horse Valley, west of Haines"/>
        <s v="Cooke City, Montana"/>
        <s v="Altoona, about 10 miles northeast of Philipsburg, Montana"/>
        <s v="Gold Hill, Uinta Mountains"/>
        <s v="Sharkstooth Peak, La Plata Mountains"/>
        <s v="Diablo Ridge, Pt. 12,505, approx. 1 mile W of Conejos Peak"/>
        <s v="Mount Jumbo, Missoula"/>
        <s v="Troy, West Cabinet Mountain Range"/>
        <s v="Near Togwotee Pass"/>
        <s v="Frenchman Creek, northwest of Galena Summit"/>
        <s v="Star Mountain, near Twin Lakes"/>
        <s v="SW face of Cornucopia Peak, Wallowa Mountains"/>
        <s v="North Fork Swan River, south of Keystone Ski Area"/>
        <s v="Left Fork Huntington Creek"/>
        <s v="Near Kebler Pass, west of Crested Butte"/>
        <s v="Near Tibble Fork Reservoir"/>
        <s v="Lewis Peak, Cascades north of Stevens Pass"/>
        <s v="East Vail, backcountry southeast of Vail Ski Area"/>
        <s v="Onion Basin, northern Gallatin Range"/>
        <s v="Parkview Mountain, west of Willow Creek Pass"/>
        <s v="Pucker Face, near Jackson Hole Mountain Resort"/>
        <s v="Neely's, Palisades Peak"/>
        <s v="Sheep Creek, north of Loveland Pass"/>
        <s v="Ptarmigan Hill, near Vail Pass"/>
        <s v="Red Mountain, near Snoqualmie Pass"/>
        <s v="Kessler Peak, Big Cottonwood Canyon"/>
        <s v="Ypsilon Mountain, Rocky Mountain National Park"/>
        <s v="Takhinsha Mountains, southwest of Haines"/>
        <s v="Nokhu Crags, Never Summer Mountains"/>
        <s v="Prospectors Mountain, Grand Teton National Park"/>
        <s v="Huntington Ravine, Mount Washington"/>
        <s v="12 Mile Canyon, Manti Skyline"/>
        <s v="Cement Creek, near Silverton"/>
        <s v="Survey Peak, Grand Teton National Park"/>
        <s v="Clause Creek, southwest of Hoback Canyon"/>
        <s v="Mill Hollow, West Fork Duchesne"/>
        <s v="Raspberry Creek, near Marble"/>
        <s v="Ships Prow Glades, Snowmass Ski Area"/>
        <s v="Donner Ski Ranch"/>
        <s v="Alpine Meadows Ski Area"/>
        <s v="West Buttress, Denali"/>
        <s v="Ophir Pass, Paradise Basin"/>
        <s v="Takin Ridge, northwest of Haines"/>
        <s v="Ranger Peak, Grand Teton National Park"/>
        <s v="Beaver Basin, La Sal Mountains"/>
        <s v="Forestdale Divide, Carson Pass"/>
        <s v="Polaris Point, Ward Canyon"/>
        <s v="SE of Grouse Mountain, Togwotee Pass"/>
        <s v="Skyline Creek, near Marias Pass"/>
        <s v="Daisy Pass Road, north of Cooke City"/>
        <s v="Lost Johnny drainage, east of Kaispell"/>
        <s v="WAC Bluffs near Aplental Ski Area"/>
        <s v="Tunnel Creek, near Stevens Pass"/>
        <s v="Gibbs Creek, near Wolf Creek Pass"/>
        <s v="Contention Fingers, Bear Creek, Telluride"/>
        <s v="Lost Creek Reservior"/>
        <s v="Twin Lakes, Swan Range"/>
        <s v="Little Giant, West Kessler, Big Cottonwood Canyon"/>
        <s v="Prima Cornice, Vail"/>
        <s v="Trestle Trees, Winter Park"/>
        <s v="Chedsey Creek, North Park"/>
        <s v="Burnt Mountain near Snowmass Village"/>
        <s v="Phillipsburg, Flint Range, Red Lion"/>
        <s v="Hayden Creek, south of Cooke City"/>
        <s v="Gad Valley, Little Cottonwood Canyon"/>
        <s v="Mount Frances, Denali National Park"/>
        <s v="Torreys Peak"/>
        <s v="Ruth Gorge"/>
        <s v="Split Mountain, south of Bishop"/>
        <s v="Bird Ridge, Chugach State Park"/>
        <s v="Garnet Canyon Meadows, Grand Teton National Park"/>
        <s v="Highlands Ridge, Desolation Row, Aspen zone"/>
        <s v="Back country to the west of Stevens Pass, WA. Backside of Cowboy Mountain"/>
        <s v="Horsehoe Mountain, Manti Skyline"/>
        <s v="Bald Mountain, Hatcher Pass"/>
        <s v="Mount Cashmere"/>
        <s v="East Snowmass Creek Valley, Sand's Chute"/>
        <s v="Sand Peak-Flat Tops"/>
        <s v="Red Mountain, Snoqualmie Pass Washington"/>
        <s v="&quot;High Trail Cliffs,&quot; northeast of Berthoud Pass"/>
        <s v="Near Hungry Horse Reservoir, east of Kalispell"/>
        <s v="20 miles northeast of Calder"/>
        <s v="Dry Gulch-East of Eisenhower Tunnel"/>
        <s v="Morning Star Peak, north central Washington Cascades"/>
        <s v="Cherry Hill, western Uinta Mountains"/>
        <s v="Wolf Creek Pass Ski Area, Glory Hole Point"/>
        <s v="Lolo Peak, west of Missoula, MT"/>
        <s v="Ingraham Direct Route, Mount Rainier"/>
        <s v="Ruth Gorge, Denali National Park"/>
        <s v="McAtee Basin south of Big Sky"/>
        <s v="Francis Peak northwest of Farmington"/>
        <s v="Indian Creek drainage northwest of Alpine"/>
        <s v="Peak 6996 near Marias Pass, Glacier NP"/>
        <s v="Near Baldy Peak, east of Ridgway"/>
        <s v="Near Brundage Mountain"/>
        <s v="Missoula Lake 10 miles SW of Superior, MT"/>
        <s v="Southwest of Creede"/>
        <s v="North of Schweitzer Ski Area, Idaho Panhandle"/>
        <s v="Near Antora Peak south of Buena Vista"/>
        <s v="Steep Gully #1, west of Arapahoe Basin Ski Area"/>
        <s v="Lindley Backcountry Hut south of Aspen"/>
        <s v="South Teton, Grand Teton NP"/>
        <s v="South Fork Eagle River, Alaska Three Bowls"/>
        <s v="Grandview, Placer River Drainage, Chugach NF"/>
        <s v="Near the Ridgway Hut, San Juan Mountains"/>
        <s v="North Fork of Murphy Creek, Wyoming Range"/>
        <s v="Garns Mtn in the Big Hole Range west of Driggs"/>
        <s v="Grandview Pk, Session Mtns east of Bountiful"/>
        <s v="Near Boardman Pass, Soldier Mountains"/>
        <s v="Meadows Chutes near Solitude Ski Area"/>
        <s v="Hells Canyon, Snowbasin Backcountry"/>
        <s v="Off trail run in bounds at Sun Valley Ski Resort"/>
        <s v="Battle Mountain, Vail sidecountry"/>
        <s v="Jackson Hole Mountain Resort"/>
        <s v="Scotch Bonnet Mountain near Cooke City"/>
        <s v="Paulina Peak east of La Pine"/>
        <s v="Rock Lake west of Cascade"/>
        <s v="Hyalite Canyon outside of Bozeman"/>
        <s v="Thompson Pass"/>
        <s v="Norton Creek, 20 MILES west of Ketchum"/>
        <s v="Johnson Pass, Kenai Peninsula"/>
        <s v="Aneroid Basin, Eagle Cap Wilderness"/>
        <s v="Gladiator Ridge, north of Sun Valley"/>
        <s v="Squaw Valley"/>
        <s v="Indian Peak area, Sanke River Range"/>
        <s v="Trapper Creek, North of Priest Lake"/>
        <s v="Maggies Peaks"/>
        <s v="Hell Roaring drainage South of Mt Jefferson"/>
        <s v="Northeast facing slope on Crown Butte"/>
        <s v="Black Butte area of the Gravelly Range"/>
        <s v="Near Cody"/>
        <s v="Rockford"/>
        <s v="Yamaha Hill, western Uintas"/>
        <s v="Tatie Peak, near Harts Pass"/>
        <s v="Brown Bear Basin near Harts Pass"/>
        <s v="Jackson Hole"/>
        <s v="Gravel Mountain, north of Granby"/>
        <s v="Poulsen’s Gully-Squaw Valley Ski Area"/>
        <s v="Logan Peak"/>
        <s v="Northwest of Crested Butte"/>
        <s v="Snowbird Ski Area"/>
        <s v="Near Aspen Ski Area"/>
        <s v="Sheep Mountain, near Orofino"/>
        <s v="Mount Eyak, Cordova"/>
        <s v="Seattle Creek, near Turnigan Pass"/>
        <s v="Garden Valley"/>
        <s v="Little Box Canyon"/>
        <s v="Tokopah Canyon, Sequoia National Park"/>
        <s v="Near Mountain High ski resort"/>
        <s v="Beehive Basin, near Big Sky"/>
        <s v="Canyon Creek, near Whitefish Mountain"/>
        <s v="King Tut, East Vail backcountry southeast of Vail"/>
        <s v="Star Valley"/>
        <s v="Blanca Peak"/>
        <s v="Near Mt Pilchuck"/>
        <s v="CDC, East Vail backcountry southeast of Vail"/>
        <s v="Fargo"/>
        <s v="French Creek, Snowy Range"/>
        <s v="Excelsior Pass area, north of Mount Baker"/>
        <s v="Near Co-op Creek, Western Uintas"/>
        <s v="Superbowl near Windy Ridge, Western Uintas"/>
        <s v="The Canyons"/>
        <s v="Edith Creek, Mount Rainier National Park"/>
        <s v="Union Creek, near Crystal Mountain Resort"/>
        <s v="Source Lake, near Snoqualmie Pass"/>
        <s v="Cameron Pass"/>
        <s v="Mount Shimer"/>
        <s v="Darby Canyon"/>
        <s v="Yellow Mountain"/>
        <s v="Echo Lake, Mt Evans"/>
        <s v="near Crystal Mountain"/>
        <s v="Gobbler’s Knob, Wasatch Range"/>
        <s v="Hell’s Canyon, near Snowbasin"/>
        <s v="Signal Peak, southeast of Richfield"/>
        <s v="Tower Mountain, southeast of Heber City"/>
        <s v="Big Belt Mountains"/>
        <s v="Palisades Peak Area"/>
        <s v="North Peak"/>
        <s v="Mt Jefferson, Centenial Range"/>
        <s v="Lionhead, W of West Yellowstone"/>
        <s v="Snowmass"/>
        <s v="Stewart Peak, Salt River Range"/>
        <s v="Scotch Bonnet Peak, Cooke City"/>
        <s v="Backcountry near Lookout Pass"/>
        <s v="Mount Herman, west of Mt. Baker Ski Area"/>
        <s v="Patriot Bowl-west of Trinity Mtn. Lookout"/>
        <s v="Pioneer Ridge, an out-of-bounds area near Brighton Ski Resort"/>
        <s v="Mountians outside of Spencer"/>
        <s v="Tiffany Mountain near Conconully"/>
        <s v="Ogden Mtn., Taylor Canyon"/>
        <s v="mountains near Antelope Creek"/>
        <s v="Marmot Mountain, Hatcher Pass Area"/>
        <s v="Rainy Pass; Dalzell Creek, in the Alaska Range"/>
        <s v="FLATTOP MTN, CHUGACH STATE PARK, CHUGACH MTNS"/>
        <s v="Blacksmith Creek drainage,Twin Lakes area; Sawtooth Range"/>
        <s v="Red Meadow Lake west of Polebridge"/>
        <s v="MILLER MOUNTAIN-SHEEP CREEK"/>
        <s v="Coal Creek, West side of Teton Pass"/>
        <s v="south end of Mt. Abundance"/>
        <s v="Raggedtop Mountain"/>
        <s v="Trap Peak"/>
        <s v="Mt. Timpanogos area, near Hidden Lakes"/>
        <s v="Togwotee Pass/Squaw Basin area"/>
        <s v="Berthoud Pass, Mines 2"/>
        <s v="WHITE CLOUD MTNS STANLEY"/>
        <s v="ARAPAHOE BASIN"/>
        <s v="GRAND MESA CLIFFS"/>
        <s v="KETCHUM 20MI NW BAKER CREEK BRODIE GULCH"/>
        <s v="OGDEN MONTE CRISTO ECCLES PEAK"/>
        <s v="BISHOP MT TOM ELDERBERRY CANYON"/>
        <s v="BRECKENRIDGE QUANDARY PEAK SOUTH COULOIR"/>
        <s v="ASPEN HIGHLANDS FIVE FINGER BOWL"/>
        <s v="SUGAR BOWL MT ANDERSON NORTH BOWL BENSON HUT"/>
        <s v="MT HUNTINGTON DENALI NP"/>
        <s v="MOUNT MANSFIELD, NE RIDGE"/>
        <s v="LAKE STEVENS"/>
        <s v="CANYONS DUTCH DRAW OB"/>
        <s v="SNOQUALMIE PASS ALPENTAL SA CLOSED"/>
        <s v="LAS VEGAS SKI MT CHARLESTON LEE CANYON"/>
        <s v="MANTI WASATCH PLATEAU EPHRIAM CANYON"/>
        <s v="WASATCH PLATEAU MT PLEASANT CHOKE CHERRY"/>
        <s v="BUFFALO PASS SODA MOUNTAIN"/>
        <s v="CENTENNIAL MTNS HELL ROARING HUT"/>
        <s v="BIG COTTONWOOD CNYN MINERAL FORK"/>
        <s v="PROVO UINTA MONTAINS STRAWBERRY VALLEY, trout creek"/>
        <s v="BIG COTTONWOOD CNYN TWIN LAKES PASS"/>
        <s v="MADISON RANGE SPHINX MOUNTAIN"/>
        <s v="MT RAINIER INGRAHAM GLACIER"/>
        <s v="MT RAINIER / LIBERTY RIDGE"/>
        <s v="MT BAKER OB"/>
        <s v="PAXSON / RICHARDSON HWY MP 194 / HOODOO MTNS"/>
        <s v="SAWATCH RANGE / BROWNS PEAK"/>
        <s v="SAWATCH RANGE / LA PLATA PEAK"/>
        <s v="BRECKENRIDGE / MT GUYOT"/>
        <s v="SANDPOINT / JERU"/>
        <s v="SNOQUALMIE PASS / SALMON LA SAC"/>
        <s v="PORTAGE / BRYON GLACIER PEAK"/>
        <s v="KETCHUM / APOLLO CREEK"/>
        <s v="PARK CITY / DALY CANYON / JUDGE MINE"/>
        <s v="JACKSON / TETON RANGE / PK 9870"/>
        <s v="PORTAGE / USFS BUILDING"/>
        <s v="FAIRFIELD"/>
        <s v="DONNER SUMMIT"/>
        <s v="PROVO CANYON / ASPEN GROVE / ROBERTS HORN CHUTE"/>
        <s v="BLEWETT PASS / NAVAJO PEAK"/>
        <s v="SNOQUALMIE PASS / SNOW LAKE TRAIL"/>
        <s v="MT BAKER / ARTIST POINT"/>
        <s v="CARSON PASS / NR BLUE LAKES"/>
        <s v="DEVILS THUMB"/>
        <s v="WRANGELL-ST ELIAS / VERDE PEAK"/>
        <s v="LA PLATA MTNS / BURRO MTN"/>
        <s v="ARAPAHOE BASIN / PORCUPINE MTN"/>
        <s v="COOKE CITY / MT ABUNDANCE"/>
        <s v="SAWATCH RANGE / COTTONWOOD PASS / PTARMIGAN LAKE"/>
        <s v="ST ELMO / SAWATCH RANGE / HANCOCK PASS"/>
        <s v="SALT RIVER RANGE / POKER FLATS"/>
        <s v="SAWATCH RANGE / ELK HEAD PASS /MISSOURI BASIN NR BELFORD"/>
        <s v="PRIEST LAKE / ECHO BASIN"/>
        <s v="SCHWEITZER / KEOKEE PEAK"/>
        <s v="DRY GULCH / SNOOPY"/>
        <s v="BIG COTTONWOOD CYN / MILL CREEK / GOBBLERS KNOB"/>
        <s v="JACKSON HOLE / HOURGLASS COULOIR"/>
        <s v="HATCHER PASS"/>
        <s v="LIVINGSTON / CRAZY MTNS / ELK CREEK"/>
        <s v="LINCOLN / COPPER CREEK BOWL"/>
        <s v="TETON PASS / AVALANCHE BOWL"/>
        <s v="TOGWOTEE PASS / KETTLE CREEK"/>
        <s v="COOKE CITY / WOLVERINE PEAK"/>
        <s v="GRAYS RIVER / CORRAL CREEK LAKE"/>
        <s v="TETON PASS / SKI LAKE"/>
        <s v="CRYSTAL MOUNTAIN / NORSE PEAK"/>
        <s v="FAIRFIELD / TRINITY MTNS"/>
        <s v="SNOWY RANGE W SIDE"/>
        <s v="MT ROSE OB"/>
        <s v="MT WASHINGTON / TUCKERMAN RAVINE"/>
        <s v="MT FORAKER"/>
        <s v="EAGLE RIVER 6 MILE"/>
        <s v="TARGHEE CREEK"/>
        <s v="JACKSON / JACKSON PEAK"/>
        <s v="FLATTOPS / PAGODA PEAK"/>
        <s v="BRIGHTON OB / PIONEER RIDGE"/>
        <s v="WHITEFISH RANGE / SOUTH CANYON"/>
        <s v="TELLURIDE OB / TEMPTER BOWL"/>
        <s v="ASHCROFT / LINDLEY HUT"/>
        <s v="ASPEN MTN OB / PANDORAS"/>
        <s v="VICTOR / BIG HOLE MTNS"/>
        <s v="SUGAR BOWL OB / MT JUDAH"/>
        <s v="GLENWOOD SPRINGS / MINER BASIN"/>
        <s v="WHITEFISH RANGE"/>
        <s v="CRYSTAL PEAK / FRIENDS HUT"/>
        <s v="ASPEN HIGHLANDS"/>
        <s v="WEBER CANYON"/>
        <s v="BONNER SHEEP MTN"/>
        <s v="PAXSON SUMMIT LAKE"/>
        <s v="PHILIPSBURG"/>
        <s v="CANTWELL"/>
        <s v="HOPE PALMER CREEK ROAD"/>
        <s v="CORDOVA"/>
        <s v="YANKEE DOODLE LAKE"/>
        <s v="BIG COTTONWOOD CYN / STAIRS GU"/>
        <s v="MT BAKER"/>
        <s v="FLATHEAD PASS / BRIDGER MTNS"/>
        <s v="WEST YELLOWSTONE / LIONSHEAD"/>
        <s v="TENMILE RANGE / W SIDE"/>
        <s v="STEAMBOAT / FARWELL MTN"/>
        <s v="DELTA / SUMMIT LAKE"/>
        <s v="UINTA MTNS"/>
        <s v="GRAYS RIVER / PRATER PK"/>
        <s v="CANYONS / RED ROCK CLIFFS"/>
        <s v="CRESTED BUTTE OHIO PASS"/>
        <s v="JACKSON HOLE OB APRES VOUS"/>
        <s v="SQUAW VALLEY OB"/>
        <s v="CLE ELUM LAKE ANN WENATCHEE NF"/>
        <s v="JACKSON HOLE ROCK SPRINGS"/>
        <s v="EUREKA LODGE MATANUSKA RIVER"/>
        <s v="TWIN LAKES NR LAKE WENATCHEE"/>
        <s v="ROCK CREEK NW OF JACKSON"/>
        <s v="EMIGRANT PK ABSAROKA MTNS"/>
        <s v="CAMERON PASS DIAMOND PKS"/>
        <s v="TETONS DEAD HORSE PASS"/>
        <s v="MARIAS PASS PUZZLE SLIDE"/>
        <s v="OGDEN / WILLARD PEAK"/>
        <s v="TETON PASS"/>
        <s v="CANTWELL / DENALI NP"/>
        <s v="TETON PASS, Glory Bowl"/>
        <s v="SUNLIGHT BASIN CODY"/>
        <s v="ABASIN MARJORIE BOWL"/>
        <s v="PAXON / SUMMIT LAKE"/>
        <s v="TALKEETNA"/>
        <s v="SWAN RANGE"/>
        <s v="BONNERS FERRY"/>
        <s v="MT WASHINGTON"/>
        <s v="LAKE PLACID"/>
        <s v="ST CHARLES"/>
        <s v="SEWARD HIGHWAY"/>
        <s v="ASPEN HURRICANE"/>
        <s v="ABASIN BEAVERS"/>
        <s v="JONES PASS"/>
        <s v="CRYSTAL MTN"/>
        <s v="QUANDARY PEAK"/>
        <s v="BIG SKY / DOBES"/>
        <s v="SITKA"/>
        <s v="WRANGELL-ST ELIAS"/>
        <s v="MT MCGINNIS JUNEAU"/>
        <s v="TALKEETNA MTNS CANTW"/>
        <s v="OPHIR"/>
        <s v="CHUGACH MTNS"/>
        <s v="TURNAGAIN PASS"/>
        <s v="CUMBERLAND PASS"/>
        <s v="LITTLE COTTON WD CNY"/>
        <s v="GRAND MESA"/>
        <s v="BLUE MOUNTAINS"/>
        <s v="S WASATCH MT NEBO"/>
        <s v="TOGWOTEE PASS"/>
        <s v="FAIRVIEW CANYON"/>
        <s v="BITTERROOT MTNS"/>
        <s v="LIMA PKS S OF DILLON"/>
        <s v="SNOWBIRD"/>
        <s v="MT RAINER"/>
        <s v="MT HOOD"/>
        <s v="DENALI /"/>
        <s v="BERTHOUD PASS russel"/>
        <s v="ST MARYS GLACIER"/>
        <s v="ASPEN MTN"/>
        <s v="MORMOM HILL"/>
        <s v="DONNER PASS"/>
        <s v="INSPIRATION PASS"/>
        <s v="LIZARD HEAD PASS San Bernardo Pk"/>
        <s v="BLEWETT PASS"/>
        <s v="SUMMIT CNTY"/>
        <s v="MADISON RANGE"/>
        <s v="COOKE CITY"/>
        <s v="MT PLEASANT"/>
        <s v="ENCAMPMENT battle lk"/>
        <s v="MISSION MTNS"/>
        <s v="HAMILTON"/>
        <s v="ISLAND PARK reas pk"/>
        <s v="ISLAND PARK sawtell"/>
        <s v="GUANELLA PASS"/>
        <s v="CROW PASS"/>
        <s v="GLADSTONE PK"/>
        <s v="DENALI / MT HUNTER"/>
        <s v="DENALI / MT MCKINELY"/>
        <s v="GAKONA GLACIER"/>
        <s v="PRIEST LAKE"/>
        <s v="YELLOWSTONE"/>
        <s v="JACKSON"/>
        <s v="CASCADE"/>
        <s v="LOGAN CANYON BV FALL"/>
        <s v="RESURRECTION PASS"/>
        <s v="LOGAN CANYON"/>
        <s v="MONTPEILER"/>
        <s v="MT INDEX"/>
        <s v="Flagstaff Peak near ALTA"/>
        <s v="CHAIR MOUNTAIN"/>
        <s v="BOUNTIFUL PK"/>
        <s v="MT HUNTER"/>
        <s v="MT SAINT ELIAS"/>
        <s v="LITTLE COTTONWOOD CN"/>
        <s v="W YELLOWSTONE"/>
        <s v="EAST VAIL CHUTES"/>
        <s v="VAIL"/>
        <s v="DELTA RANGE"/>
        <s v="MISSION MTNS POULSON"/>
        <s v="SUN VALLEY"/>
        <s v="SALT MTN RNG"/>
        <s v="TAOS"/>
        <s v="ABASIN BEAVERS 2"/>
        <s v="COTTONWOOD PASS"/>
        <s v="SOLITUDE"/>
        <s v="ASPEN PYRAMID PK"/>
        <s v="ASPEN MCFARLANE BOWL"/>
        <s v="CENTENIAL"/>
        <s v="SNAKE RIV CNYN"/>
        <s v="GALENA PASS"/>
        <s v="VAIL PASS Narrows"/>
        <s v="TIOGA PASS"/>
        <s v="GLACIER NP"/>
        <s v="PIKES PEAK"/>
        <s v="MT ORVILLE GLAC BAY"/>
        <s v="ANACONDA"/>
        <s v="ENGINEER MTN"/>
        <s v="DOUGLAS ISLAND"/>
        <s v="RUBY CK, URAD MINE"/>
        <s v="KENAI MTNS"/>
        <s v="CONUNDRUM CREEK"/>
        <s v="BIG COTTONWOOD CYN"/>
        <s v="DRY GULCH"/>
        <s v="Agassiz Peak, east of ARIZONA SNOWBOWL"/>
        <s v="MT BALDY"/>
        <s v="MIDWAY"/>
        <s v="KELBER PASS"/>
        <s v="FRANCIES CABIN"/>
        <s v="CUTLER BASIN, OGDEN"/>
        <s v="MISSION RIDGE"/>
        <s v="MT BELFORD"/>
        <s v="COAL BANK PASS"/>
        <s v="POWERLINE PASS, CHUG"/>
        <s v="BOULDER CRK, KENAI"/>
        <s v="GRAYS RIVER RD"/>
        <s v="BRIGHTON"/>
        <s v="PETERS RIDGE"/>
        <s v="BARNARD GLACIER"/>
        <s v="BLACKSTONE BAY"/>
        <s v="BUFFALO MT"/>
        <s v="WOLVERINE CIRQ"/>
        <s v="CRESTED BUTTE"/>
        <s v="ODYSSEY MT"/>
        <s v="ST HWY 280"/>
        <s v="PINE CRST"/>
        <s v="TODD LAKE, near BEND"/>
        <s v="TWOTOP MOUNTAIN"/>
        <s v="10 MILE CANYON"/>
        <s v="BRECKENRIDGE"/>
        <s v="SUNDANCE"/>
        <s v="SUNLIGHT"/>
        <s v="EAST VAIL"/>
        <s v="MISSOULA"/>
        <s v="MAMMOTH LAKES"/>
        <s v="STANLEY"/>
        <s v="HEALY"/>
        <s v="Rocky Mountain Nat Park / FLATTOP"/>
        <s v="LOOKOUT PK"/>
        <s v="S MAROON PK"/>
        <s v="BERTHOUD PASS"/>
        <s v="MONTEZUMA"/>
        <s v="RED MOUNTAIN PASS"/>
        <s v="LOST LAKE"/>
        <s v="JED SMITH WILDX"/>
        <s v="SNEFFELS RANGE"/>
        <s v="BEAVER CREEK"/>
        <s v="MT ROSE"/>
        <s v="LA SAL MTNS"/>
        <s v="LONGS PEAK RMNP"/>
        <s v="LOVELAND PASS / GRIZZLY PK"/>
        <s v="CASTLE CREEK"/>
        <s v="MT WASHINGTON TUCKMANS"/>
        <s v="COTTENWOOD PASS"/>
        <s v="ARAPAHOE BASIN OB"/>
        <s v="POWERLINE PASS"/>
        <s v="TENMILE RANGE / FLETCHER MTN"/>
        <s v="LAPLATA MTNS"/>
        <s v="ALPINE MEADOWS / MUNCHKIN CHUTES / CHADS CLIFF"/>
        <s v="RED MOUNTAIN PASS / OH BOY"/>
        <s v="HOMER"/>
        <s v="FREMONT PASS"/>
        <s v="WEST YELLOWSTONE / LIONSHEAD MTN"/>
        <s v="VAIL / OB MUSHROOM BOWL"/>
        <s v="LOVELAND PASS"/>
        <s v="RUBY MTNS"/>
        <s v="MT HOOD MDWS"/>
        <s v="TELLURIDE"/>
        <s v="KENI PENINSULA / TINCAN PEAK"/>
        <s v="MT BLACKBURN"/>
        <s v="MT RAINIER"/>
        <s v="ASHCROFT / PEARL PASS"/>
        <s v="BERTHOUD PASS 2ND CREEK"/>
        <s v="EXIT GLACIER"/>
        <s v="MT BORAH"/>
        <s v="DENALI / MT FORAKER"/>
        <s v="SHRINE PASS"/>
        <s v="WOLF CREEK PASS / TREASURE MTN"/>
        <s v="MT ELLIS"/>
        <s v="ALTA"/>
        <s v="VAIL (ob)"/>
        <s v="TWIN LAKES"/>
        <s v="PROVO CANYON"/>
        <s v="SUGAR BOWL"/>
        <s v="FRENCH GULCH"/>
        <s v="LA PLATA MTNS"/>
        <s v="CATHERINES PASS"/>
        <s v="WHITEHORSE MTN"/>
        <s v="PARK CITY"/>
        <s v="EAGLE RIVER"/>
        <s v="POWDER MTN"/>
        <s v="ROBERTS"/>
        <s v="LOLO PASS"/>
        <s v="MT SI"/>
        <s v="SNOWY RANGE"/>
        <s v="GRAND TETON"/>
        <s v="ASHCROFT"/>
        <s v="ASPEN"/>
        <s v="KELSO MTN"/>
        <s v="ELK MTNS"/>
        <s v="SOURCE LAKE"/>
        <s v="MARBLE / CHAIR MTN"/>
        <s v="EAGLE PK, CHUG"/>
        <s v="DALLAS DIVIDE"/>
        <s v="VAIL PASS"/>
        <s v="SNOW KING"/>
        <s v="MT KATAHDIN"/>
        <s v="Town of Steamboat"/>
        <s v="COPPER MOUNTAIN"/>
        <s v="MT SHUKSAN"/>
        <s v="GRANITE MT"/>
        <s v="MT SHASTA"/>
        <s v="GRAND LAKE"/>
        <s v="DEER CREEK"/>
        <s v="BOZEMAN CREEK"/>
        <s v="WOLF CREEK PASS"/>
        <s v="BIG SKY"/>
        <s v="MONTPELIER"/>
        <s v="DENALI / MT MCKINLEY"/>
        <s v="ALPINE MDWS"/>
        <s v="PARK WEST"/>
        <s v="ANEROID LAKE"/>
        <s v="CUMBRES PASS"/>
        <s v="D. L. BLISS"/>
        <s v="LEADVILLE"/>
        <s v="CHUGACH"/>
        <s v="RED LODGE"/>
        <s v="MILLCREEK CN"/>
        <s v="SCHWEITZER"/>
        <s v="LAMOILLE"/>
        <s v="BIG COTTONWOOD"/>
        <s v="BIG MOUNTAIN"/>
        <s v="B COTTONWOOD"/>
        <s v="MAMMOTH MT"/>
        <s v="DESOLATION LK"/>
        <s v="LOVELAND BASIN"/>
        <s v="STEVENS PASS"/>
        <s v="HELPER"/>
        <s v="MT SOPRIS"/>
        <s v="LOST CANYON"/>
        <s v="SHEEP MT"/>
        <s v="EL DIENTE PK"/>
        <s v="S ARAPAHOE PK"/>
        <s v="SHEEP CREEK"/>
        <s v="VALDEZ"/>
        <s v="ROCKY MOUNTAIN NAT PARK"/>
        <s v="BIG FOUR MT"/>
        <s v="MT NAST"/>
        <s v="SILVER PEAK"/>
        <s v="GRAND TARGHEE"/>
        <s v="ALPINE MEADOWS"/>
        <s v="BRIDGEPORT"/>
        <s v="MT MARATHON"/>
        <s v="JACKSON PEAK"/>
        <s v="POCATELLO"/>
        <s v="JUNEAU"/>
        <s v="PORTAGE"/>
        <s v="MT ST HELENS"/>
        <s v="HECLA"/>
        <s v="MCGINNIS GL"/>
        <s v="CENTENNIAL"/>
        <s v="OWEN CREEK"/>
        <s v="GARFIELD"/>
        <s v="MONARCH PASS"/>
        <s v="HEAVENLY VAL"/>
        <s v="TANAINA PEAK"/>
        <s v="FLATTOP MT"/>
        <s v="PARKCITYWEST"/>
        <s v="TAOS SKIVALLEY"/>
        <s v="STEAMBOAT"/>
        <s v="YOSEMITE"/>
        <s v="MITCHELL LAKE"/>
        <s v="MT GARFIELD"/>
        <s v="POLE CREEK"/>
        <s v="EKLUTNA GLAC"/>
        <s v="ASPEN MTN (McFarlane Gulch)"/>
        <s v="WILLOW CREEK"/>
        <s v="SNOQUALMIE PS"/>
        <s v="ALUM CREEK"/>
        <s v="GLACIER"/>
        <s v="BLACKFOOT R"/>
        <s v="KYLE CANYON"/>
        <s v="MINERAL KING"/>
        <s v="SLIDE MT"/>
        <s v="ROCK CANYON"/>
        <s v="SKYLINE"/>
        <s v="PARLEY'S CN"/>
        <s v="GENEVA BASIN"/>
        <s v="MORROW POINTDAM"/>
        <s v="HOMESTAKE LAKE"/>
        <s v="SNOWBANK MOUNTAIN"/>
        <s v="SNOW BASIN"/>
        <s v="SNOW KING MT"/>
        <s v="LUNDIN PK"/>
        <s v="TABERG"/>
        <s v="BIG FOUR MTN"/>
        <s v="SWIFT CREEK"/>
        <s v="SAWATCH / LA PLATA PEAK"/>
        <s v="SUPERIOR CREEK"/>
        <s v="BERTHOUD PASS (Floral Park)"/>
        <s v="CAMP BIRD HWY"/>
        <s v="DAM SLIDE"/>
        <s v="GRANITE MTN. SNOQUAL"/>
        <s v="ST MARYS LAKE"/>
        <s v="WARDNER"/>
        <s v="LEEKS CANYON"/>
        <s v="MACE"/>
        <s v="TUCKERMAN RAVINE"/>
        <s v="MOON PASS"/>
        <s v="SEWARD HWY"/>
        <s v="COBALT"/>
        <s v="TWIN BRIDGES"/>
        <s v="SILVERTON"/>
      </sharedItems>
    </cacheField>
    <cacheField name="Trigger" numFmtId="0">
      <sharedItems containsBlank="1">
        <m/>
        <s v="N"/>
        <s v="AS"/>
        <s v="U"/>
        <s v="AM"/>
        <s v="AR"/>
        <s v="AF"/>
        <s v="AI"/>
        <s v="AV"/>
        <s v="AU"/>
      </sharedItems>
    </cacheField>
    <cacheField name="D Size" numFmtId="0">
      <sharedItems containsString="0" containsBlank="1" containsNumber="1">
        <m/>
        <n v="1.5"/>
        <n v="2.0"/>
        <n v="4.0"/>
        <n v="3.0"/>
        <n v="2.5"/>
        <n v="1.0"/>
        <n v="3.5"/>
      </sharedItems>
    </cacheField>
    <cacheField name="Setting" numFmtId="0">
      <sharedItems>
        <s v="BC"/>
        <s v="TN"/>
        <s v="SA-closed terrain"/>
        <s v="SA"/>
        <s v="RD"/>
        <s v="RS"/>
        <s v="MN"/>
      </sharedItems>
    </cacheField>
    <cacheField name="State" numFmtId="0">
      <sharedItems>
        <s v="CA"/>
        <s v="AK"/>
        <s v="CO"/>
        <s v="UT"/>
        <s v="ID"/>
        <s v="OR"/>
        <s v="WY"/>
        <s v="WA"/>
        <s v="NV"/>
        <s v="MT"/>
        <s v="NH"/>
        <s v="NM"/>
        <s v="ND"/>
        <s v="VT"/>
        <s v="NY"/>
        <s v="AZ"/>
        <s v="ME"/>
      </sharedItems>
    </cacheField>
    <cacheField name="lat">
      <sharedItems containsMixedTypes="1" containsNumber="1">
        <n v="37.02083"/>
        <n v="37.1428002"/>
        <n v="62.969167"/>
        <n v="63.7195059"/>
        <n v="39.445508"/>
        <n v="40.6035668"/>
        <n v="40.3694652"/>
        <n v="43.6236384"/>
        <n v="39.13463"/>
        <n v="39.0476462"/>
        <n v="37.62916"/>
        <n v="43.69245"/>
        <n v="44.2544096"/>
        <n v="44.1719826"/>
        <n v="40.8384427"/>
        <n v="44.2683117"/>
        <n v="37.3689262"/>
        <n v="37.07843"/>
        <n v="42.5236"/>
        <n v="47.47885"/>
        <n v="36.3002511"/>
        <n v="39.92446"/>
        <n v="45.05148"/>
        <n v="39.4521"/>
        <n v="39.802025"/>
        <n v="40.25337"/>
        <n v="61.1262988"/>
        <n v="40.50566"/>
        <n v="37.811"/>
        <n v="43.594646"/>
        <n v="41.08325"/>
        <n v="39.0633427"/>
        <n v="45.0466424"/>
        <n v="44.7007794"/>
        <n v="39.3698477"/>
        <n v="45.07147"/>
        <n v="40.5108549"/>
        <n v="43.7069491"/>
        <n v="46.9037942"/>
        <n v="62.99264"/>
        <n v="61.79476"/>
        <n v="39.5776"/>
        <n v="39.36713"/>
        <n v="47.537"/>
        <n v="43.69679"/>
        <n v="42.46526"/>
        <n v="40.56855"/>
        <n v="43.812"/>
        <n v="43.75778"/>
        <n v="43.1507"/>
        <n v="40.3544"/>
        <n v="45.3407"/>
        <n v="39.6927"/>
        <n v="39.93438"/>
        <n v="47.37055"/>
        <n v="40.67619"/>
        <n v="48.23555"/>
        <n v="39.6059"/>
        <n v="41.39009"/>
        <n v="61.41102"/>
        <n v="37.84364"/>
        <n v="44.25602"/>
        <n v="40.66465"/>
        <n v="40.6529"/>
        <n v="39.8261"/>
        <n v="37.82931"/>
        <n v="38.83428"/>
        <n v="42.60289"/>
        <n v="38.89532"/>
        <n v="39.6458"/>
        <n v="43.35006"/>
        <n v="43.53018"/>
        <n v="42.76727"/>
        <n v="61.76992"/>
        <n v="53.87779"/>
        <n v="39.6897"/>
        <n v="60.31759"/>
        <n v="47.33538"/>
        <n v="37.983432"/>
        <n v="40.97512"/>
        <n v="39.15756"/>
        <n v="43.69076"/>
        <n v="44.86901"/>
        <n v="47.48811"/>
        <n v="47.25592"/>
        <n v="40.65347"/>
        <n v="40.51611"/>
        <n v="44.27047"/>
        <n v="59.26892"/>
        <n v="42.84156"/>
        <n v="60.44865"/>
        <n v="38.80363"/>
        <n v="39.78113"/>
        <n v="43.80692"/>
        <n v="37.82918"/>
        <n v="45.8068"/>
        <n v="37.90765"/>
        <n v="38.900249"/>
        <n v="40.86998"/>
        <n v="38.20105"/>
        <n v="45.53253"/>
        <n v="43.43538"/>
        <n v="38.45639"/>
        <n v="39.0255"/>
        <n v="39.63323"/>
        <n v="36.59686"/>
        <n v="43.72431"/>
        <n v="37.91467"/>
        <n v="47.9255"/>
        <n v="42.928524"/>
        <n v="60.63803"/>
        <n v="43.71207"/>
        <n v="45.79356"/>
        <n v="39.48928"/>
        <n v="39.1356"/>
        <n v="48.71588"/>
        <n v="48.698"/>
        <n v="38.70123"/>
        <n v="47.28918"/>
        <n v="55.36253"/>
        <n v="47.42726"/>
        <n v="47.28327"/>
        <n v="43.37248"/>
        <n v="43.58847"/>
        <n v="37.868103"/>
        <n v="44.53606"/>
        <n v="44.53577"/>
        <n v="44.92997"/>
        <n v="42.58895"/>
        <n v="61.77018"/>
        <n v="44.9926"/>
        <n v="47.45607"/>
        <n v="64.75012"/>
        <n v="47.45038"/>
        <n v="40.07444"/>
        <n v="43.18684"/>
        <n v="60.49072"/>
        <n v="48.65865"/>
        <n v="46.93807"/>
        <n v="46.63541"/>
        <n v="43.777267"/>
        <n v="45.05133"/>
        <n v="39.319495"/>
        <n v="63.13543"/>
        <n v="63.13287"/>
        <n v="43.15673"/>
        <n v="45.38254"/>
        <n v="61.9341"/>
        <n v="44.50079"/>
        <n v="43.78727"/>
        <n v="44.61589"/>
        <n v="38.78811"/>
        <n v="37.49201"/>
        <n v="40.68023"/>
        <n v="45.02176"/>
        <n v="48.86637"/>
        <n v="43.59215"/>
        <n v="48.65633"/>
        <n v="39.75178"/>
        <n v="40.66633"/>
        <n v="38.89564"/>
        <n v="43.58226"/>
        <n v="45.2674"/>
        <n v="61.77334"/>
        <n v="39.8328"/>
        <n v="39.31398"/>
        <n v="61.76959"/>
        <n v="47.42748"/>
        <n v="47.4395"/>
        <n v="45.0719"/>
        <n v="61.78027"/>
        <n v="36.59012"/>
        <n v="43.840977"/>
        <n v="45.34349"/>
        <n v="61.257718"/>
        <n v="63.236944"/>
        <n v="41.20948"/>
        <n v="39.16365"/>
        <n v="37.80219"/>
        <n v="39.65381"/>
        <n v="63.30806"/>
        <n v="45.03989"/>
        <n v="46.85409"/>
        <n v="48.83072"/>
        <n v="46.16521"/>
        <n v="42.94208"/>
        <n v="43.72534"/>
        <n v="47.42995"/>
        <n v="59.174833"/>
        <n v="45.04988"/>
        <n v="46.22165"/>
        <n v="40.81277"/>
        <n v="37.46096"/>
        <n v="37.29154"/>
        <n v="46.8785"/>
        <n v="48.24066"/>
        <n v="43.75188"/>
        <n v="43.87049"/>
        <n v="39.0601"/>
        <n v="45.04927"/>
        <n v="39.54231"/>
        <n v="39.58532"/>
        <n v="38.85159"/>
        <n v="40.48077"/>
        <n v="48.00566"/>
        <n v="39.60126"/>
        <n v="45.28914"/>
        <n v="40.34187"/>
        <n v="43.55509"/>
        <n v="43.44151"/>
        <n v="39.6789"/>
        <n v="39.49593"/>
        <n v="47.4556"/>
        <n v="47.41624"/>
        <n v="40.629"/>
        <n v="40.45562"/>
        <n v="59.23428"/>
        <n v="40.49092"/>
        <n v="43.6562"/>
        <n v="44.27458"/>
        <n v="39.0436"/>
        <n v="37.89819"/>
        <n v="44.03701"/>
        <n v="43.16087"/>
        <n v="40.48247"/>
        <n v="39.04972"/>
        <n v="39.17266"/>
        <n v="39.31763"/>
        <n v="39.17845"/>
        <n v="63.06973"/>
        <n v="37.84165"/>
        <n v="59.30267"/>
        <n v="43.9293"/>
        <n v="38.53887"/>
        <n v="38.6687"/>
        <n v="39.13477"/>
        <n v="43.70731"/>
        <n v="48.28091"/>
        <n v="40.65124"/>
        <n v="45.03811"/>
        <n v="48.24368"/>
        <n v="47.40393"/>
        <n v="47.73107"/>
        <n v="37.5023"/>
        <n v="37.92179"/>
        <n v="38.71646"/>
        <n v="48.1836"/>
        <n v="40.62223"/>
        <n v="39.61276"/>
        <n v="39.88692"/>
        <n v="40.56363"/>
        <n v="39.18044"/>
        <n v="46.28812"/>
        <n v="44.98826"/>
        <n v="45.05412"/>
        <n v="40.56899"/>
        <n v="62.988611"/>
        <n v="39.64473"/>
        <n v="0.0"/>
        <n v="37.02093"/>
        <n v="39.1341833"/>
        <n v="39.1766667"/>
        <n v="40.1167083"/>
        <n v="45.80933"/>
        <n v="39.80247"/>
        <n v="39.7630556"/>
        <n v="37.4599722"/>
        <n v="38.12291"/>
        <n v="37.74434"/>
        <n v="38.32872"/>
        <n v="39.63599"/>
        <n v="39.00458"/>
        <n v="61.245"/>
        <n v="60.63375"/>
        <n v="38.02697"/>
        <n v="39.5595"/>
        <n v="40.2676"/>
        <n v="38.89737"/>
        <n v="39.13588"/>
        <n v="39.79637"/>
        <n v="39.59875"/>
        <n v="37.56332394"/>
        <n v="39.602776406"/>
        <n v="40.523520469"/>
        <n v="39.100218794"/>
        <n v="39.64455"/>
        <n v="37.484934842"/>
        <n v="39.174177938"/>
        <n v="40.518233536"/>
        <n v="39.649978631"/>
        <n v="39.799766685"/>
        <n v="39.635703455"/>
        <n v="39.054440584"/>
        <n v="39.389772648"/>
        <n v="39.12319169"/>
        <n v="40.550129054"/>
        <n v="38.959803982"/>
        <n v="39.031981569"/>
        <n v="39.4691953"/>
        <n v="37.67885051"/>
        <n v="39.614879361"/>
        <n v="38.777370585"/>
        <n v="38.621158775"/>
        <n v="38.950260845"/>
        <n v="39.713195382"/>
        <n v="40.139224219"/>
        <n v="37.901214044"/>
        <n v="39.004812368"/>
        <n v="39.152750204"/>
        <n v="39.360682131"/>
        <n v="38.958063447"/>
        <n v="39.167724914"/>
        <n v="39.93797283"/>
        <n v="39.458460511"/>
        <n v="40.825879513"/>
        <n v="38.831266329"/>
        <n v="40.514811401"/>
        <n v="39.639007489"/>
        <n v="39.130912374"/>
        <e v="#REF!"/>
        <n v="39.774241429"/>
        <n v="39.389971675"/>
        <n v="40.513930407"/>
      </sharedItems>
    </cacheField>
    <cacheField name="lon">
      <sharedItems containsMixedTypes="1" containsNumber="1">
        <n v="-118.4223"/>
        <n v="-118.566151"/>
        <n v="-150.613333"/>
        <n v="-148.9840132"/>
        <n v="-105.9597"/>
        <n v="-111.5827335"/>
        <n v="-112.1919349"/>
        <n v="-115.4286397"/>
        <n v="-106.8772"/>
        <n v="-107.2575098"/>
        <n v="-107.813734"/>
        <n v="-121.25478"/>
        <n v="-115.4064953"/>
        <n v="-115.1058438"/>
        <n v="-111.0212427"/>
        <n v="-121.7384841"/>
        <n v="-107.5720981"/>
        <n v="-106.41289"/>
        <n v="-110.7626"/>
        <n v="-120.84439"/>
        <n v="-115.6475213"/>
        <n v="-105.69068"/>
        <n v="-109.96152"/>
        <n v="-106.0758069"/>
        <n v="-105.781271"/>
        <n v="-105.600944"/>
        <n v="-145.7271624"/>
        <n v="-106.72047"/>
        <n v="-107.838"/>
        <n v="-111.011139"/>
        <n v="-106.88938"/>
        <n v="-107.1758918"/>
        <n v="-109.9771345"/>
        <n v="-111.2909701"/>
        <n v="-106.0733894"/>
        <n v="-109.94407"/>
        <n v="-105.8907319"/>
        <n v="-111.3444239"/>
        <n v="-121.4954424"/>
        <n v="-150.71404"/>
        <n v="-147.73927"/>
        <n v="-106.5548"/>
        <n v="-120.32926"/>
        <n v="-115.82937"/>
        <n v="-110.79015"/>
        <n v="-111.54934"/>
        <n v="-115.39873"/>
        <n v="-114.84442"/>
        <n v="-110.06862"/>
        <n v="-110.9939"/>
        <n v="-105.96973"/>
        <n v="-111.391"/>
        <n v="-105.8909"/>
        <n v="-105.68267"/>
        <n v="-121.11164"/>
        <n v="-111.67168"/>
        <n v="-113.96937"/>
        <n v="-106.2956"/>
        <n v="-122.98229"/>
        <n v="-149.38629"/>
        <n v="-107.76892"/>
        <n v="-71.32073"/>
        <n v="-111.60109"/>
        <n v="-111.59156"/>
        <n v="-105.772"/>
        <n v="-107.74661"/>
        <n v="-107.09508"/>
        <n v="-110.75731"/>
        <n v="-107.03138"/>
        <n v="-106.15636"/>
        <n v="-111.21846"/>
        <n v="-110.98117"/>
        <n v="-112.13999"/>
        <n v="-149.31278"/>
        <n v="-166.53277"/>
        <n v="-106.4702"/>
        <n v="-149.60966"/>
        <n v="-120.58043"/>
        <n v="-107.655867"/>
        <n v="-111.8223"/>
        <n v="-120.22238"/>
        <n v="-114.67559"/>
        <n v="-118.19007"/>
        <n v="-116.1278"/>
        <n v="-113.71536"/>
        <n v="-111.59126"/>
        <n v="-105.90773"/>
        <n v="-71.30302"/>
        <n v="-135.5229"/>
        <n v="-106.32372"/>
        <n v="-149.49703"/>
        <n v="-106.8897"/>
        <n v="-105.86643"/>
        <n v="-110.09852"/>
        <n v="-107.8806"/>
        <n v="-110.935"/>
        <n v="-107.81133"/>
        <n v="-106.871974"/>
        <n v="-111.00054"/>
        <n v="-112.40459"/>
        <n v="-111.99267"/>
        <n v="-111.12406"/>
        <n v="-109.23622"/>
        <n v="-106.78511"/>
        <n v="-111.25"/>
        <n v="-105.44398"/>
        <n v="-110.40504"/>
        <n v="-107.73362"/>
        <n v="-112.79538"/>
        <n v="-110.525528"/>
        <n v="-148.76375"/>
        <n v="-110.38285"/>
        <n v="-110.93668"/>
        <n v="-105.894263333"/>
        <n v="-106.87936"/>
        <n v="-121.85568"/>
        <n v="-120.44506"/>
        <n v="-120.07545"/>
        <n v="-120.85939"/>
        <n v="-131.71496"/>
        <n v="-121.4157"/>
        <n v="-121.35053"/>
        <n v="-111.13924"/>
        <n v="-110.87502"/>
        <n v="-107.731504"/>
        <n v="-111.51295"/>
        <n v="-111.51303"/>
        <n v="-111.24546"/>
        <n v="-110.73395"/>
        <n v="-149.3127"/>
        <n v="-111.45364"/>
        <n v="-121.38914"/>
        <n v="-147.33215"/>
        <n v="-121.00136"/>
        <n v="-107.24227"/>
        <n v="-111.10276"/>
        <n v="-149.81369"/>
        <n v="-113.89389"/>
        <n v="-121.50192"/>
        <n v="-121.39051"/>
        <n v="-110.9207"/>
        <n v="-109.94499"/>
        <n v="-119.882984"/>
        <n v="-145.54688"/>
        <n v="-145.51838"/>
        <n v="-122.21706"/>
        <n v="-117.23099"/>
        <n v="-147.16324"/>
        <n v="-111.33665"/>
        <n v="-110.95917"/>
        <n v="-107.38586"/>
        <n v="-106.38731"/>
        <n v="-106.70106"/>
        <n v="-111.59942"/>
        <n v="-116.12926"/>
        <n v="-121.7029"/>
        <n v="-110.87834"/>
        <n v="-114.55822"/>
        <n v="-105.83877"/>
        <n v="-111.68551"/>
        <n v="-107.12571"/>
        <n v="-110.8263"/>
        <n v="-111.29631"/>
        <n v="-149.30763"/>
        <n v="-105.64831"/>
        <n v="-120.3389"/>
        <n v="-149.31244"/>
        <n v="-121.41789"/>
        <n v="-121.3841"/>
        <n v="-109.92765"/>
        <n v="-149.289121"/>
        <n v="-118.29052"/>
        <n v="-110.76783"/>
        <n v="-111.39699"/>
        <n v="-144.316144"/>
        <n v="-149.298611"/>
        <n v="-111.88039"/>
        <n v="-106.83021"/>
        <n v="-107.65048"/>
        <n v="-105.79688"/>
        <n v="-145.68832"/>
        <n v="-109.94394"/>
        <n v="-121.75873"/>
        <n v="-121.60287"/>
        <n v="-113.08846"/>
        <n v="-122.10402"/>
        <n v="-121.23121"/>
        <n v="-121.63033"/>
        <n v="-135.94405"/>
        <n v="-109.96267"/>
        <n v="-113.1427"/>
        <n v="-110.89685"/>
        <n v="-108.0689"/>
        <n v="-106.56876"/>
        <n v="-113.95603"/>
        <n v="-116.0307"/>
        <n v="-110.06799"/>
        <n v="-114.71289"/>
        <n v="-106.52531"/>
        <n v="-117.24747"/>
        <n v="-105.90649"/>
        <n v="-111.26644"/>
        <n v="-107.0978"/>
        <n v="-111.64719"/>
        <n v="-121.46261"/>
        <n v="-106.30123"/>
        <n v="-111.39776"/>
        <n v="-106.11978"/>
        <n v="-110.83933"/>
        <n v="-111.08833"/>
        <n v="-105.86839"/>
        <n v="-106.26114"/>
        <n v="-121.38923"/>
        <n v="-121.48046"/>
        <n v="-111.666412"/>
        <n v="-105.67725"/>
        <n v="-135.44838"/>
        <n v="-105.89048"/>
        <n v="-110.83179"/>
        <n v="-71.28565"/>
        <n v="-111.519"/>
        <n v="-107.65301"/>
        <n v="-110.84518"/>
        <n v="-110.56993"/>
        <n v="-111.03127"/>
        <n v="-107.19519"/>
        <n v="-106.875"/>
        <n v="-120.32956"/>
        <n v="-120.22751"/>
        <n v="-151.00605"/>
        <n v="-107.7812"/>
        <n v="-136.0355"/>
        <n v="-110.76279"/>
        <n v="-109.20981"/>
        <n v="-119.95553"/>
        <n v="-120.20433"/>
        <n v="-110.22351"/>
        <n v="-113.34938"/>
        <n v="-111.5917"/>
        <n v="-109.94252"/>
        <n v="-114.0035"/>
        <n v="-121.41541"/>
        <n v="-121.10229"/>
        <n v="-106.80041"/>
        <n v="-107.80952"/>
        <n v="-111.72199"/>
        <n v="-113.94539"/>
        <n v="-111.66989"/>
        <n v="-106.35495"/>
        <n v="-105.76066"/>
        <n v="-106.64257"/>
        <n v="-106.92264"/>
        <n v="-113.19969"/>
        <n v="-109.9001"/>
        <n v="-109.92405"/>
        <n v="-111.65284"/>
        <n v="-151.1625"/>
        <n v="-105.81825"/>
        <n v="0.0"/>
        <n v="-118.42155"/>
        <n v="-106.8850167"/>
        <n v="-106.9752778"/>
        <n v="-107.3775583"/>
        <n v="-110.93343"/>
        <n v="-105.76991"/>
        <n v="-106.0983333"/>
        <n v="-106.7997778"/>
        <n v="-107.67303"/>
        <n v="-107.10425"/>
        <n v="-106.23696"/>
        <n v="-105.88544"/>
        <n v="-106.80244"/>
        <n v="-149.438"/>
        <n v="-149.0722"/>
        <n v="-107.76825"/>
        <n v="-106.34039"/>
        <n v="-105.9995"/>
        <n v="-107.01826"/>
        <n v="-106.8024"/>
        <n v="-107.65328"/>
        <n v="-106.29621"/>
        <n v="-105.503296"/>
        <n v="-106.298302"/>
        <n v="-105.873138"/>
        <n v="-106.731148"/>
        <n v="-105.58999"/>
        <n v="-106.541466"/>
        <n v="-106.944435"/>
        <n v="-105.84417"/>
        <n v="-105.796799"/>
        <n v="-105.765465"/>
        <n v="-105.878418"/>
        <n v="-108.052078004"/>
        <n v="-106.102867"/>
        <n v="-106.875687"/>
        <n v="-106.718529"/>
        <n v="-106.448074"/>
        <n v="-106.483955"/>
        <n v="-105.935242"/>
        <n v="-108.033371003"/>
        <n v="-105.914383"/>
        <n v="-106.390312"/>
        <n v="-106.370575"/>
        <n v="-106.363106"/>
        <n v="-105.90683"/>
        <n v="-107.348953001"/>
        <n v="-107.821030002"/>
        <n v="-106.801826"/>
        <n v="-106.809509"/>
        <n v="-107.429977001"/>
        <n v="-106.798096"/>
        <n v="-106.866333"/>
        <n v="-105.655472"/>
        <n v="-106.12999"/>
        <n v="-106.842384"/>
        <n v="-107.096786"/>
        <n v="-105.899963"/>
        <n v="-105.864685"/>
        <n v="-106.888649"/>
        <e v="#REF!"/>
        <n v="-105.889061"/>
        <n v="-106.097374"/>
        <n v="-105.897987"/>
      </sharedItems>
    </cacheField>
    <cacheField name="PrimaryActivity" numFmtId="0">
      <sharedItems>
        <s v="Hiker"/>
        <s v="Backcountry Tourer"/>
        <s v="Climber"/>
        <s v="Resident"/>
        <s v="Snowmobiler"/>
        <s v="Sidecountry Rider"/>
        <s v="Mechanized Guided Client"/>
        <s v="Mechanised Guide"/>
        <s v="Hybrid Rider"/>
        <s v="Motorized Guided client"/>
        <s v="Inbounds Rider"/>
        <s v="Mechanized Guide"/>
        <s v="Snowbiker"/>
        <s v="Hybrid Tourer"/>
        <s v="Ski Patroller"/>
        <s v="Human-powered Guide Client"/>
        <s v="Snowplayer"/>
        <s v="Highway Personnel"/>
        <s v="Mechanized Guiding Client"/>
        <s v="Others at Work"/>
        <s v="Hunter"/>
        <s v="Misc Recreation"/>
        <s v="Motorist"/>
        <s v="Miner"/>
        <s v="Rescuer"/>
        <s v="Ranger"/>
      </sharedItems>
    </cacheField>
    <cacheField name="TravelMode" numFmtId="0">
      <sharedItems containsBlank="1">
        <s v="Foot"/>
        <s v="Ski"/>
        <s v="Snowmobile"/>
        <s v="Snowboard"/>
        <s v="Snowshoe"/>
        <s v="Snowbike"/>
        <m/>
        <s v="Sled, tube, or saucer"/>
        <s v="Other"/>
        <s v="Vehicle"/>
      </sharedItems>
    </cacheField>
    <cacheField name="Killed" numFmtId="0">
      <sharedItems containsSemiMixedTypes="0" containsString="0" containsNumber="1" containsInteger="1">
        <n v="1.0"/>
        <n v="2.0"/>
        <n v="3.0"/>
        <n v="4.0"/>
        <n v="6.0"/>
        <n v="5.0"/>
        <n v="11.0"/>
        <n v="7.0"/>
      </sharedItems>
    </cacheField>
    <cacheField name="Description" numFmtId="0">
      <sharedItems containsBlank="1">
        <s v="3 hikers caught, 2 injured, 1 killed"/>
        <s v="2 backcountry tourers caught, 1 killed"/>
        <s v="2 climbers caught, killed"/>
        <s v="1 backcountry skier caught and killed"/>
        <s v="1 backcountry tourer caught, buried, and killed"/>
        <s v="1 resident caught, partially buried-critical, and killed"/>
        <s v="1 snowmobiler caught, buried, and killed"/>
        <s v="1 sidecountry rider caught, partially buried-critical, and killed"/>
        <s v="3 backcountry tourers caught, 2 injured, 1 buried and killed"/>
        <s v="3 residents caught, buried, and 1 killed"/>
        <s v="1 backcountry snowboarder killed"/>
        <s v="1 snowmobiler caught and killed"/>
        <s v="2 skiers caught and fully buried, 1 injured and 1 killed"/>
        <s v="1 backcountry skier caught, partially buried-critical, and killed"/>
        <s v="2 backcountry skiers caught, buried, and killed"/>
        <s v="4 climbers caught, 3 killed, 1 injured"/>
        <s v="1 backcountry snowboarder, caught, partially buried-critical, and killed"/>
        <s v="2 snowmobilers caught, buried, and killed"/>
        <s v="2 sidecountry riders caught, 1 partially buried-critical, 1 buried and killed"/>
        <s v="4 backcountry tourers caught, 2 fully buried, and 1 killed"/>
        <s v="3 climbers caught, 1 partially buried, 1 injured, 1 buried and killed"/>
        <s v="1 skier caught, carried over cliff, and killed"/>
        <s v="1 backcountry snowboarder caught, buried, and killed"/>
        <s v="2 skiers caught, 2 fully buried, 1 injured, and 1 killed"/>
        <s v="3 snowshoers caught, 2 partially buried, 1 buried and killed. 2 dogs killed"/>
        <s v="1 motorized snowbike rider caught, partially buried-critical, and killed"/>
        <s v="1 snowmobiler caught, partially buried-critical, and killed"/>
        <s v="2 snowshoers and a dog caught, buried, and killed"/>
        <s v="1 backcountry skier caught, fully buried, and killed"/>
        <s v="1 skier and 1 snowmobiler killed"/>
        <s v="6 backcountry tourers caught, 2 partially buried, 4 buried, and 1 killed"/>
        <s v="2 climbers caught in serac fall, 1 killed"/>
        <s v="1 heliskier killed"/>
        <s v="1 sidecountry skier caught and killed"/>
        <s v="4 snowmobilers caught, 1 buried, 1 buried and killed"/>
        <s v="1 backcountry tourer caught and killed"/>
        <s v="1 snowmobiler, caught, buried, and killed"/>
        <s v="2 snowmobilers caught, 1 buried and killed, 1 injured"/>
        <s v="One snowmobiler killed"/>
        <s v="1 snowboarder killed"/>
        <s v="1 snowmobiler caught, buried and killed"/>
        <s v="2 snowmobilers caught, 1 partially buried, 1 buried and killed"/>
        <s v="2 splitboarders caught, 1 partially buried and killed"/>
        <s v="1 backcountry snowboarder caught, partially-buried critical, killed"/>
        <s v="2 snowbikers caught, 1 buried and killed"/>
        <s v="7 backcountry tourers caught, 1 partially buried, 2 buried, 4 buried and killed"/>
        <s v="5 snowmobilers caught, 1 partially buried-critical and killed"/>
        <s v="2 sidecountry skiers caught, 1 buried and killed"/>
        <s v="2 backcountry tourers caught, 1 partially buried, 1 buried and killed"/>
        <s v="3 climbers caught, buried, and killed"/>
        <s v="4 backcountry skiers caught and buried, 3 killed"/>
        <s v="1 backcountry skier caught, buried, and killed"/>
        <s v="1 skier caught, buried, and killed"/>
        <s v="1 sidecountry rider caught, buried, and killed"/>
        <s v="1 backcountry skier caught, killed"/>
        <s v="2 backcountry tourers caught and carried, 1 killed"/>
        <s v="2 sidecountry riders caught, 1 partially buried, 1 buried and killed"/>
        <s v="1 backcountry tourer caught, killed"/>
        <s v="3 snowbike riders caught, 1 partially buried, 2 buried and killed"/>
        <s v="1 resident caught, buried and killed"/>
        <s v="1 climber struck by falling ice, buried, and killed"/>
        <s v="2 inbounds skiers caught, 1 injured, 1 killed"/>
        <s v="2 snowmobilers caught, 1 buried and killed"/>
        <s v="Multiple skiers caught, 2 partially buried, 5 buried, 3 killed"/>
        <s v="3 snowmobilers caught, 2 buried and killed, 1 partially buried"/>
        <s v="1 backcountry skier, caught, buried, and killed"/>
        <s v="1 resident caught, buried, and killed"/>
        <s v="2 backcountry tourers caught, 1 buried and killed"/>
        <s v="2 residents caught and buried, 1 killed"/>
        <s v="1 mechanized guide caught, buried, and killed; 1 mechanized guide client caught"/>
        <s v="1 skier caught, partially buried-critical, and killed"/>
        <s v="1 sidecountry rider caught, 1 backcountry skier caught, buried, and killed"/>
        <s v="2 backcountry tourers caught, buried, and killed"/>
        <s v="2 snowmobilers caught, 1 partially buried-critical, 1 buried and killed"/>
        <s v="4 backcountry tourers caught, 1 injured, 1 killed"/>
        <s v="4 snowmobilers caught, 3 partially buried, 1 buried and killed"/>
        <s v="2 inbounds riders caught, buried, and killed"/>
        <s v="6 backcountry tourers caught, 1 partially buried, 1 buried and killed"/>
        <s v="2 snowmobilers caught, 1 carried and injured, 1 buried and killed"/>
        <s v="3 snowmobilers caught, 2 partially buried, 1 buried and killed"/>
        <s v="2 sidecountry riders caught, 1 killed"/>
        <s v="1 snowmobiler caught, killed"/>
        <s v="1 backcountry skier killed"/>
        <s v="2 residents killed in roof avalanche"/>
        <s v="4 snowmobilers caught, 1 injured, 2 killed"/>
        <s v="1 backcountry tourers caught, 1 buried and killed"/>
        <s v="2 hikers killed"/>
        <s v="4 snowmobilers caught, 1 buried and killed, 2 injured"/>
        <s v="1 skier caught and killed"/>
        <s v="2 backcountry skiers caught and partially buried, 1 killed"/>
        <s v="1 snowbiker caught, buried, and killed"/>
        <s v="1 snowmobiler killed"/>
        <s v="1 backcountry tourer caught, killed."/>
        <s v="1 resident partially buried-critical, later died"/>
        <s v="2 snow bike riders caught, 1 buried and killed"/>
        <s v="1 snowmobiler buried and killed"/>
        <s v="1 backcountry tourer caught, partially buried, and killed"/>
        <s v="1 sidecountry rider caught, killed"/>
        <s v="1 sidecountry rider caught, buried and killed"/>
        <s v="2 hybrid tourers caught, 1 partially buried, 1 buried and"/>
        <s v="1 inbounds rider caught, buried, and killed"/>
        <s v="1 snowmobiler caught, buried, killed"/>
        <s v="Mechanised guide caught, killed"/>
        <s v="1 backcountry tourer partially buried-critical and killed"/>
        <s v="3 residents buried, 1 killed"/>
        <s v="1 sidecountry rider killed in cornice fall"/>
        <s v="1 snow bike rider, caught, partially buried-critical, and killed"/>
        <s v="2 snowmobilers caught, 1 partially buried, 1 fully buried and killed"/>
        <s v="1 sidecountry rider, caught, buried and killed"/>
        <s v="2 backcountry tourers caught, 1 injured, 1 killed"/>
        <s v="3 sidecountry riders caught, 2 buried and killed"/>
        <s v="2 snowmobilers caught, 1 partially buried not-critical, 1 buried and killed."/>
        <s v="2 backcountry tourers caught, 1 partially buried, 1 buried"/>
        <s v="2 snowmobilers caught, 1 partially buried uninjured, 1 fully buried and killed"/>
        <s v="1 backcountry snowboarder fully buried and killed"/>
        <s v="1 climber caught, buried, killed."/>
        <s v="1 hiker killed"/>
        <s v="3 snowmoiblers caught, 1 fully buried and killed"/>
        <s v="1 hiker caught, buried, and killed"/>
        <s v="4 backcountry tourers caught, 1 injured, 2 killed"/>
        <s v="1 backcountry tourer killed in cornice collapse"/>
        <s v="1 snowmobiler caught, buried, lated succumbed to injuries"/>
        <s v="One backcountry skier, caught, carried, partially buried, and killed"/>
        <s v="One climber, traveling on snowshoes, caught, buried, and killed"/>
        <s v="2 backcountry tourers caught, 1 injured,1 killed"/>
        <s v="One snowmobiler caught, buried, and killed"/>
        <s v="6 climbers caught, buried and killed"/>
        <s v="1 backcountry tourer (on ascent) caught and killed"/>
        <s v="1 backcountry skier caught, died on scene"/>
        <s v="1 snowshoer caught in cornice fall"/>
        <s v="1 heliski guide caught, buried, and died from injuries"/>
        <s v="1 snowmobiler fully buried, missing and presumed dead"/>
        <s v="1 snowplayer and 2 residents caught and buried, 1 resident killed"/>
        <s v="2 snowmobilers caught, 1 partly buried and 1 buried and killed"/>
        <s v="4 snowmobilers caught and buried, 1 killed"/>
        <s v="5 skiers caught, 3 injured, 2 killed"/>
        <s v="5 backcountry skiers caught, 1 uninjured, 2 injured, 2 killed"/>
        <s v="2 skiers caught, 1 partially buried, 1 buried and killed"/>
        <s v="1 snowshoer caught, buried, and killed"/>
        <s v="4 riders caught, 1 injured, 1 killed"/>
        <s v="One backcountry traveler buried and killed"/>
        <s v="One skier caught, buried, and killed"/>
        <s v="One snowmobiler, caught, buried and killed"/>
        <s v="6 backcountry tourers caught, 1 partially buried, 5 buried and killed"/>
        <s v="1 snowboarder caught and killed"/>
        <s v="Three climbers caught, two injured, one buried and killed"/>
        <s v="2 climbers caught, 2 injured, 1 killed"/>
        <s v="4 heliskiers caught in cornice fall, 2 injured, 1 killed"/>
        <s v="2 skiers caught, 1 partially buried-critical and injured, 1 buried and killed"/>
        <s v="1 ski mountaineer caught and killed"/>
        <s v="1 climber caught and killed"/>
        <s v="3 skiers caught, 1 buried and killed, 1 partially buried, 1 injured"/>
        <s v="3 snowmobilers caught on foot, 2 buried and killed"/>
        <s v="1 ski patroller killed"/>
        <s v="1 snowboarder caught, buried, and killed"/>
        <s v="1 ski patroller caught, buried and killed"/>
        <m/>
        <s v="2 backcountry snowboarders caught, 1 partially buried and injured, 1 buried and kill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US by Season" cacheId="0" dataCaption="" compact="0" compactData="0">
  <location ref="A3:B77" firstHeaderRow="0" firstDataRow="1" firstDataCol="0"/>
  <pivotFields>
    <pivotField name="AvyYear" axis="axisRow" compact="0" outline="0" multipleItemSelectionAllowed="1" showAll="0" sortType="ascending">
      <items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YYY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M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rig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 Siz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ett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name="l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name="PrimaryActiv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TravelM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Kill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</pivotFields>
  <rowFields>
    <field x="0"/>
  </rowFields>
  <dataFields>
    <dataField name="Annual Fatalities" fld="1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0"/>
  <cols>
    <col customWidth="1" min="1" max="2" width="8.57"/>
    <col customWidth="1" min="3" max="3" width="5.14"/>
    <col customWidth="1" min="4" max="4" width="6.0"/>
    <col customWidth="1" min="5" max="5" width="38.57"/>
    <col customWidth="1" min="6" max="6" width="8.57"/>
    <col customWidth="1" min="7" max="7" width="7.43"/>
    <col customWidth="1" min="8" max="8" width="8.57"/>
    <col customWidth="1" min="9" max="9" width="9.14"/>
    <col customWidth="1" min="10" max="11" width="11.0"/>
    <col customWidth="1" min="12" max="12" width="20.43"/>
    <col customWidth="1" min="13" max="14" width="8.57"/>
    <col customWidth="1" min="15" max="15" width="60.14"/>
    <col customWidth="1" min="16" max="16" width="20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</row>
    <row r="2">
      <c r="A2" s="4">
        <v>2023.0</v>
      </c>
      <c r="B2" s="4">
        <v>2023.0</v>
      </c>
      <c r="C2" s="4">
        <v>7.0</v>
      </c>
      <c r="D2" s="4">
        <v>2.0</v>
      </c>
      <c r="E2" s="5" t="s">
        <v>16</v>
      </c>
      <c r="F2" s="5"/>
      <c r="G2" s="5"/>
      <c r="H2" s="5" t="s">
        <v>17</v>
      </c>
      <c r="I2" s="5" t="s">
        <v>18</v>
      </c>
      <c r="J2" s="6">
        <v>37.02083</v>
      </c>
      <c r="K2" s="6">
        <v>-118.4223</v>
      </c>
      <c r="L2" s="5" t="s">
        <v>19</v>
      </c>
      <c r="M2" s="5" t="s">
        <v>20</v>
      </c>
      <c r="N2" s="4">
        <v>1.0</v>
      </c>
      <c r="O2" s="5" t="s">
        <v>21</v>
      </c>
      <c r="P2" s="7">
        <v>45109.0</v>
      </c>
    </row>
    <row r="3">
      <c r="A3" s="4">
        <v>2023.0</v>
      </c>
      <c r="B3" s="4">
        <v>2023.0</v>
      </c>
      <c r="C3" s="4">
        <v>6.0</v>
      </c>
      <c r="D3" s="4">
        <v>14.0</v>
      </c>
      <c r="E3" s="5" t="s">
        <v>22</v>
      </c>
      <c r="F3" s="5" t="s">
        <v>23</v>
      </c>
      <c r="G3" s="4">
        <v>1.5</v>
      </c>
      <c r="H3" s="5" t="s">
        <v>17</v>
      </c>
      <c r="I3" s="5" t="s">
        <v>18</v>
      </c>
      <c r="J3" s="6">
        <v>37.1428002</v>
      </c>
      <c r="K3" s="6">
        <v>-118.566151</v>
      </c>
      <c r="L3" s="5" t="s">
        <v>24</v>
      </c>
      <c r="M3" s="5" t="s">
        <v>25</v>
      </c>
      <c r="N3" s="4">
        <v>1.0</v>
      </c>
      <c r="O3" s="5" t="s">
        <v>26</v>
      </c>
      <c r="P3" s="7">
        <v>45091.0</v>
      </c>
    </row>
    <row r="4">
      <c r="A4" s="4">
        <v>2023.0</v>
      </c>
      <c r="B4" s="4">
        <v>2023.0</v>
      </c>
      <c r="C4" s="4">
        <v>5.0</v>
      </c>
      <c r="D4" s="4">
        <v>5.0</v>
      </c>
      <c r="E4" s="5" t="s">
        <v>27</v>
      </c>
      <c r="F4" s="5"/>
      <c r="G4" s="5"/>
      <c r="H4" s="5" t="s">
        <v>17</v>
      </c>
      <c r="I4" s="5" t="s">
        <v>28</v>
      </c>
      <c r="J4" s="6">
        <v>62.969167</v>
      </c>
      <c r="K4" s="6">
        <v>-150.613333</v>
      </c>
      <c r="L4" s="5" t="s">
        <v>29</v>
      </c>
      <c r="M4" s="5" t="s">
        <v>20</v>
      </c>
      <c r="N4" s="4">
        <v>2.0</v>
      </c>
      <c r="O4" s="5" t="s">
        <v>30</v>
      </c>
      <c r="P4" s="7">
        <v>45051.0</v>
      </c>
    </row>
    <row r="5">
      <c r="A5" s="4">
        <v>2023.0</v>
      </c>
      <c r="B5" s="4">
        <v>2023.0</v>
      </c>
      <c r="C5" s="4">
        <v>5.0</v>
      </c>
      <c r="D5" s="4">
        <v>4.0</v>
      </c>
      <c r="E5" s="5" t="s">
        <v>31</v>
      </c>
      <c r="F5" s="5"/>
      <c r="G5" s="5"/>
      <c r="H5" s="5" t="s">
        <v>17</v>
      </c>
      <c r="I5" s="5" t="s">
        <v>28</v>
      </c>
      <c r="J5" s="6">
        <v>63.7195059</v>
      </c>
      <c r="K5" s="6">
        <v>-148.9840132</v>
      </c>
      <c r="L5" s="5" t="s">
        <v>24</v>
      </c>
      <c r="M5" s="5" t="s">
        <v>25</v>
      </c>
      <c r="N5" s="4">
        <v>1.0</v>
      </c>
      <c r="O5" s="5" t="s">
        <v>32</v>
      </c>
      <c r="P5" s="7">
        <v>45050.0</v>
      </c>
    </row>
    <row r="6">
      <c r="A6" s="4">
        <v>2023.0</v>
      </c>
      <c r="B6" s="4">
        <v>2023.0</v>
      </c>
      <c r="C6" s="4">
        <v>4.0</v>
      </c>
      <c r="D6" s="4">
        <v>29.0</v>
      </c>
      <c r="E6" s="5" t="s">
        <v>33</v>
      </c>
      <c r="F6" s="5" t="s">
        <v>34</v>
      </c>
      <c r="G6" s="4">
        <v>2.0</v>
      </c>
      <c r="H6" s="5" t="s">
        <v>17</v>
      </c>
      <c r="I6" s="5" t="s">
        <v>35</v>
      </c>
      <c r="J6" s="6">
        <v>39.445508</v>
      </c>
      <c r="K6" s="6">
        <v>-105.9597</v>
      </c>
      <c r="L6" s="5" t="s">
        <v>24</v>
      </c>
      <c r="M6" s="5" t="s">
        <v>25</v>
      </c>
      <c r="N6" s="4">
        <v>1.0</v>
      </c>
      <c r="O6" s="5" t="s">
        <v>36</v>
      </c>
      <c r="P6" s="7">
        <v>45045.0</v>
      </c>
    </row>
    <row r="7">
      <c r="A7" s="4">
        <v>2023.0</v>
      </c>
      <c r="B7" s="4">
        <v>2023.0</v>
      </c>
      <c r="C7" s="4">
        <v>4.0</v>
      </c>
      <c r="D7" s="4">
        <v>17.0</v>
      </c>
      <c r="E7" s="5" t="s">
        <v>37</v>
      </c>
      <c r="F7" s="5" t="s">
        <v>38</v>
      </c>
      <c r="G7" s="5"/>
      <c r="H7" s="5" t="s">
        <v>39</v>
      </c>
      <c r="I7" s="5" t="s">
        <v>40</v>
      </c>
      <c r="J7" s="6">
        <v>40.6035668</v>
      </c>
      <c r="K7" s="6">
        <v>-111.5827335</v>
      </c>
      <c r="L7" s="5" t="s">
        <v>41</v>
      </c>
      <c r="M7" s="5" t="s">
        <v>20</v>
      </c>
      <c r="N7" s="4">
        <v>1.0</v>
      </c>
      <c r="O7" s="5" t="s">
        <v>42</v>
      </c>
      <c r="P7" s="7">
        <v>45033.0</v>
      </c>
    </row>
    <row r="8">
      <c r="A8" s="4">
        <v>2023.0</v>
      </c>
      <c r="B8" s="4">
        <v>2023.0</v>
      </c>
      <c r="C8" s="4">
        <v>3.0</v>
      </c>
      <c r="D8" s="4">
        <v>27.0</v>
      </c>
      <c r="E8" s="5" t="s">
        <v>43</v>
      </c>
      <c r="F8" s="5" t="s">
        <v>44</v>
      </c>
      <c r="G8" s="4">
        <v>4.0</v>
      </c>
      <c r="H8" s="5" t="s">
        <v>17</v>
      </c>
      <c r="I8" s="5" t="s">
        <v>40</v>
      </c>
      <c r="J8" s="6">
        <v>40.3694652</v>
      </c>
      <c r="K8" s="6">
        <v>-112.1919349</v>
      </c>
      <c r="L8" s="5" t="s">
        <v>45</v>
      </c>
      <c r="M8" s="5" t="s">
        <v>46</v>
      </c>
      <c r="N8" s="4">
        <v>1.0</v>
      </c>
      <c r="O8" s="5" t="s">
        <v>47</v>
      </c>
      <c r="P8" s="7">
        <v>45012.0</v>
      </c>
    </row>
    <row r="9">
      <c r="A9" s="4">
        <v>2023.0</v>
      </c>
      <c r="B9" s="4">
        <v>2023.0</v>
      </c>
      <c r="C9" s="4">
        <v>3.0</v>
      </c>
      <c r="D9" s="4">
        <v>22.0</v>
      </c>
      <c r="E9" s="5" t="s">
        <v>48</v>
      </c>
      <c r="F9" s="5"/>
      <c r="G9" s="5"/>
      <c r="H9" s="5" t="s">
        <v>17</v>
      </c>
      <c r="I9" s="5" t="s">
        <v>49</v>
      </c>
      <c r="J9" s="6">
        <v>43.6236384</v>
      </c>
      <c r="K9" s="6">
        <v>-115.4286397</v>
      </c>
      <c r="L9" s="5" t="s">
        <v>45</v>
      </c>
      <c r="M9" s="5" t="s">
        <v>46</v>
      </c>
      <c r="N9" s="4">
        <v>1.0</v>
      </c>
      <c r="O9" s="5" t="s">
        <v>47</v>
      </c>
      <c r="P9" s="7">
        <v>45007.0</v>
      </c>
    </row>
    <row r="10">
      <c r="A10" s="4">
        <v>2023.0</v>
      </c>
      <c r="B10" s="4">
        <v>2023.0</v>
      </c>
      <c r="C10" s="4">
        <v>3.0</v>
      </c>
      <c r="D10" s="4">
        <v>19.0</v>
      </c>
      <c r="E10" s="5" t="s">
        <v>50</v>
      </c>
      <c r="F10" s="5" t="s">
        <v>34</v>
      </c>
      <c r="G10" s="4">
        <v>3.0</v>
      </c>
      <c r="H10" s="5" t="s">
        <v>17</v>
      </c>
      <c r="I10" s="5" t="s">
        <v>35</v>
      </c>
      <c r="J10" s="6">
        <v>39.13463</v>
      </c>
      <c r="K10" s="6">
        <v>-106.8772</v>
      </c>
      <c r="L10" s="5" t="s">
        <v>51</v>
      </c>
      <c r="M10" s="5" t="s">
        <v>25</v>
      </c>
      <c r="N10" s="4">
        <v>1.0</v>
      </c>
      <c r="O10" s="5" t="s">
        <v>52</v>
      </c>
      <c r="P10" s="7">
        <v>45004.0</v>
      </c>
    </row>
    <row r="11">
      <c r="A11" s="4">
        <v>2023.0</v>
      </c>
      <c r="B11" s="4">
        <v>2023.0</v>
      </c>
      <c r="C11" s="4">
        <v>3.0</v>
      </c>
      <c r="D11" s="4">
        <v>17.0</v>
      </c>
      <c r="E11" s="5" t="s">
        <v>53</v>
      </c>
      <c r="F11" s="5" t="s">
        <v>34</v>
      </c>
      <c r="G11" s="4">
        <v>3.0</v>
      </c>
      <c r="H11" s="5" t="s">
        <v>17</v>
      </c>
      <c r="I11" s="5" t="s">
        <v>35</v>
      </c>
      <c r="J11" s="6">
        <v>39.0476462</v>
      </c>
      <c r="K11" s="6">
        <v>-107.2575098</v>
      </c>
      <c r="L11" s="5" t="s">
        <v>24</v>
      </c>
      <c r="M11" s="5" t="s">
        <v>25</v>
      </c>
      <c r="N11" s="4">
        <v>1.0</v>
      </c>
      <c r="O11" s="5" t="s">
        <v>54</v>
      </c>
      <c r="P11" s="7">
        <v>45002.0</v>
      </c>
    </row>
    <row r="12">
      <c r="A12" s="4">
        <v>2023.0</v>
      </c>
      <c r="B12" s="4">
        <v>2023.0</v>
      </c>
      <c r="C12" s="4">
        <v>3.0</v>
      </c>
      <c r="D12" s="4">
        <v>16.0</v>
      </c>
      <c r="E12" s="5" t="s">
        <v>55</v>
      </c>
      <c r="F12" s="5" t="s">
        <v>23</v>
      </c>
      <c r="G12" s="5"/>
      <c r="H12" s="5" t="s">
        <v>39</v>
      </c>
      <c r="I12" s="5" t="s">
        <v>35</v>
      </c>
      <c r="J12" s="6">
        <v>37.62916</v>
      </c>
      <c r="K12" s="6">
        <v>-107.813734</v>
      </c>
      <c r="L12" s="5" t="s">
        <v>41</v>
      </c>
      <c r="M12" s="5" t="s">
        <v>20</v>
      </c>
      <c r="N12" s="4">
        <v>1.0</v>
      </c>
      <c r="O12" s="5" t="s">
        <v>56</v>
      </c>
      <c r="P12" s="7">
        <v>45001.0</v>
      </c>
    </row>
    <row r="13">
      <c r="A13" s="4">
        <v>2023.0</v>
      </c>
      <c r="B13" s="4">
        <v>2023.0</v>
      </c>
      <c r="C13" s="4">
        <v>3.0</v>
      </c>
      <c r="D13" s="4">
        <v>15.0</v>
      </c>
      <c r="E13" s="5" t="s">
        <v>57</v>
      </c>
      <c r="F13" s="5" t="s">
        <v>58</v>
      </c>
      <c r="G13" s="4">
        <v>2.0</v>
      </c>
      <c r="H13" s="5" t="s">
        <v>17</v>
      </c>
      <c r="I13" s="5" t="s">
        <v>59</v>
      </c>
      <c r="J13" s="6">
        <v>43.69245</v>
      </c>
      <c r="K13" s="6">
        <v>-121.25478</v>
      </c>
      <c r="L13" s="5" t="s">
        <v>24</v>
      </c>
      <c r="M13" s="5" t="s">
        <v>60</v>
      </c>
      <c r="N13" s="4">
        <v>1.0</v>
      </c>
      <c r="O13" s="5" t="s">
        <v>61</v>
      </c>
      <c r="P13" s="7">
        <v>45000.0</v>
      </c>
    </row>
    <row r="14">
      <c r="A14" s="4">
        <v>2023.0</v>
      </c>
      <c r="B14" s="4">
        <v>2023.0</v>
      </c>
      <c r="C14" s="4">
        <v>3.0</v>
      </c>
      <c r="D14" s="4">
        <v>12.0</v>
      </c>
      <c r="E14" s="5" t="s">
        <v>62</v>
      </c>
      <c r="F14" s="5"/>
      <c r="G14" s="5"/>
      <c r="H14" s="5" t="s">
        <v>17</v>
      </c>
      <c r="I14" s="5" t="s">
        <v>49</v>
      </c>
      <c r="J14" s="6">
        <v>44.2544096</v>
      </c>
      <c r="K14" s="6">
        <v>-115.4064953</v>
      </c>
      <c r="L14" s="5" t="s">
        <v>45</v>
      </c>
      <c r="M14" s="5" t="s">
        <v>46</v>
      </c>
      <c r="N14" s="4">
        <v>1.0</v>
      </c>
      <c r="O14" s="5" t="s">
        <v>63</v>
      </c>
      <c r="P14" s="7">
        <v>44997.0</v>
      </c>
    </row>
    <row r="15">
      <c r="A15" s="4">
        <v>2023.0</v>
      </c>
      <c r="B15" s="4">
        <v>2023.0</v>
      </c>
      <c r="C15" s="4">
        <v>3.0</v>
      </c>
      <c r="D15" s="4">
        <v>12.0</v>
      </c>
      <c r="E15" s="5" t="s">
        <v>64</v>
      </c>
      <c r="F15" s="5" t="s">
        <v>44</v>
      </c>
      <c r="G15" s="4">
        <v>2.0</v>
      </c>
      <c r="H15" s="5" t="s">
        <v>17</v>
      </c>
      <c r="I15" s="5" t="s">
        <v>49</v>
      </c>
      <c r="J15" s="6">
        <v>44.1719826</v>
      </c>
      <c r="K15" s="6">
        <v>-115.1058438</v>
      </c>
      <c r="L15" s="5" t="s">
        <v>45</v>
      </c>
      <c r="M15" s="5" t="s">
        <v>46</v>
      </c>
      <c r="N15" s="4">
        <v>1.0</v>
      </c>
      <c r="O15" s="5" t="s">
        <v>47</v>
      </c>
      <c r="P15" s="7">
        <v>44997.0</v>
      </c>
    </row>
    <row r="16">
      <c r="A16" s="4">
        <v>2023.0</v>
      </c>
      <c r="B16" s="4">
        <v>2023.0</v>
      </c>
      <c r="C16" s="4">
        <v>3.0</v>
      </c>
      <c r="D16" s="4">
        <v>9.0</v>
      </c>
      <c r="E16" s="5" t="s">
        <v>65</v>
      </c>
      <c r="F16" s="5" t="s">
        <v>34</v>
      </c>
      <c r="G16" s="5"/>
      <c r="H16" s="5" t="s">
        <v>17</v>
      </c>
      <c r="I16" s="5" t="s">
        <v>40</v>
      </c>
      <c r="J16" s="6">
        <v>40.8384427</v>
      </c>
      <c r="K16" s="6">
        <v>-111.0212427</v>
      </c>
      <c r="L16" s="5" t="s">
        <v>66</v>
      </c>
      <c r="M16" s="5" t="s">
        <v>25</v>
      </c>
      <c r="N16" s="4">
        <v>1.0</v>
      </c>
      <c r="O16" s="5" t="s">
        <v>67</v>
      </c>
      <c r="P16" s="7">
        <v>44994.0</v>
      </c>
    </row>
    <row r="17">
      <c r="A17" s="4">
        <v>2023.0</v>
      </c>
      <c r="B17" s="4">
        <v>2023.0</v>
      </c>
      <c r="C17" s="4">
        <v>3.0</v>
      </c>
      <c r="D17" s="4">
        <v>2.0</v>
      </c>
      <c r="E17" s="5" t="s">
        <v>68</v>
      </c>
      <c r="F17" s="5" t="s">
        <v>34</v>
      </c>
      <c r="G17" s="4">
        <v>2.0</v>
      </c>
      <c r="H17" s="5" t="s">
        <v>17</v>
      </c>
      <c r="I17" s="5" t="s">
        <v>59</v>
      </c>
      <c r="J17" s="6">
        <v>44.2683117</v>
      </c>
      <c r="K17" s="6">
        <v>-121.7384841</v>
      </c>
      <c r="L17" s="5" t="s">
        <v>24</v>
      </c>
      <c r="M17" s="5" t="s">
        <v>25</v>
      </c>
      <c r="N17" s="4">
        <v>1.0</v>
      </c>
      <c r="O17" s="5" t="s">
        <v>69</v>
      </c>
      <c r="P17" s="7">
        <v>44987.0</v>
      </c>
    </row>
    <row r="18">
      <c r="A18" s="4">
        <v>2023.0</v>
      </c>
      <c r="B18" s="4">
        <v>2023.0</v>
      </c>
      <c r="C18" s="4">
        <v>2.0</v>
      </c>
      <c r="D18" s="4">
        <v>25.0</v>
      </c>
      <c r="E18" s="5" t="s">
        <v>70</v>
      </c>
      <c r="F18" s="5" t="s">
        <v>34</v>
      </c>
      <c r="G18" s="4">
        <v>2.0</v>
      </c>
      <c r="H18" s="5" t="s">
        <v>17</v>
      </c>
      <c r="I18" s="5" t="s">
        <v>35</v>
      </c>
      <c r="J18" s="6">
        <v>37.3689262</v>
      </c>
      <c r="K18" s="6">
        <v>-107.5720981</v>
      </c>
      <c r="L18" s="5" t="s">
        <v>24</v>
      </c>
      <c r="M18" s="5" t="s">
        <v>25</v>
      </c>
      <c r="N18" s="4">
        <v>2.0</v>
      </c>
      <c r="O18" s="5" t="s">
        <v>71</v>
      </c>
      <c r="P18" s="7">
        <v>44982.0</v>
      </c>
    </row>
    <row r="19">
      <c r="A19" s="4">
        <v>2023.0</v>
      </c>
      <c r="B19" s="4">
        <v>2023.0</v>
      </c>
      <c r="C19" s="4">
        <v>2.0</v>
      </c>
      <c r="D19" s="4">
        <v>25.0</v>
      </c>
      <c r="E19" s="5" t="s">
        <v>72</v>
      </c>
      <c r="F19" s="5" t="s">
        <v>44</v>
      </c>
      <c r="G19" s="4">
        <v>2.5</v>
      </c>
      <c r="H19" s="5" t="s">
        <v>17</v>
      </c>
      <c r="I19" s="5" t="s">
        <v>35</v>
      </c>
      <c r="J19" s="6">
        <v>37.07843</v>
      </c>
      <c r="K19" s="6">
        <v>-106.41289</v>
      </c>
      <c r="L19" s="5" t="s">
        <v>45</v>
      </c>
      <c r="M19" s="5" t="s">
        <v>46</v>
      </c>
      <c r="N19" s="4">
        <v>1.0</v>
      </c>
      <c r="O19" s="5" t="s">
        <v>47</v>
      </c>
      <c r="P19" s="7">
        <v>44982.0</v>
      </c>
    </row>
    <row r="20">
      <c r="A20" s="4">
        <v>2023.0</v>
      </c>
      <c r="B20" s="4">
        <v>2023.0</v>
      </c>
      <c r="C20" s="4">
        <v>2.0</v>
      </c>
      <c r="D20" s="4">
        <v>23.0</v>
      </c>
      <c r="E20" s="5" t="s">
        <v>73</v>
      </c>
      <c r="F20" s="5" t="s">
        <v>44</v>
      </c>
      <c r="G20" s="4">
        <v>1.5</v>
      </c>
      <c r="H20" s="5" t="s">
        <v>17</v>
      </c>
      <c r="I20" s="5" t="s">
        <v>74</v>
      </c>
      <c r="J20" s="6">
        <v>42.5236</v>
      </c>
      <c r="K20" s="6">
        <v>-110.7626</v>
      </c>
      <c r="L20" s="5" t="s">
        <v>45</v>
      </c>
      <c r="M20" s="5" t="s">
        <v>46</v>
      </c>
      <c r="N20" s="4">
        <v>1.0</v>
      </c>
      <c r="O20" s="5" t="s">
        <v>47</v>
      </c>
      <c r="P20" s="7">
        <v>44980.0</v>
      </c>
    </row>
    <row r="21">
      <c r="A21" s="4">
        <v>2023.0</v>
      </c>
      <c r="B21" s="4">
        <v>2023.0</v>
      </c>
      <c r="C21" s="4">
        <v>2.0</v>
      </c>
      <c r="D21" s="4">
        <v>19.0</v>
      </c>
      <c r="E21" s="5" t="s">
        <v>75</v>
      </c>
      <c r="F21" s="5" t="s">
        <v>76</v>
      </c>
      <c r="G21" s="5"/>
      <c r="H21" s="5" t="s">
        <v>17</v>
      </c>
      <c r="I21" s="5" t="s">
        <v>77</v>
      </c>
      <c r="J21" s="6">
        <v>47.47885</v>
      </c>
      <c r="K21" s="6">
        <v>-120.84439</v>
      </c>
      <c r="L21" s="5" t="s">
        <v>29</v>
      </c>
      <c r="M21" s="5" t="s">
        <v>20</v>
      </c>
      <c r="N21" s="4">
        <v>3.0</v>
      </c>
      <c r="O21" s="5" t="s">
        <v>78</v>
      </c>
      <c r="P21" s="7">
        <v>44976.0</v>
      </c>
    </row>
    <row r="22">
      <c r="A22" s="4">
        <v>2023.0</v>
      </c>
      <c r="B22" s="4">
        <v>2023.0</v>
      </c>
      <c r="C22" s="4">
        <v>1.0</v>
      </c>
      <c r="D22" s="4">
        <v>9.0</v>
      </c>
      <c r="E22" s="5" t="s">
        <v>79</v>
      </c>
      <c r="F22" s="5" t="s">
        <v>58</v>
      </c>
      <c r="G22" s="4">
        <v>2.0</v>
      </c>
      <c r="H22" s="5" t="s">
        <v>17</v>
      </c>
      <c r="I22" s="5" t="s">
        <v>80</v>
      </c>
      <c r="J22" s="6">
        <v>36.3002511</v>
      </c>
      <c r="K22" s="6">
        <v>-115.6475213</v>
      </c>
      <c r="L22" s="5" t="s">
        <v>24</v>
      </c>
      <c r="M22" s="5" t="s">
        <v>60</v>
      </c>
      <c r="N22" s="4">
        <v>1.0</v>
      </c>
      <c r="O22" s="5" t="s">
        <v>81</v>
      </c>
      <c r="P22" s="7">
        <v>44935.0</v>
      </c>
    </row>
    <row r="23">
      <c r="A23" s="4">
        <v>2023.0</v>
      </c>
      <c r="B23" s="4">
        <v>2023.0</v>
      </c>
      <c r="C23" s="4">
        <v>1.0</v>
      </c>
      <c r="D23" s="4">
        <v>7.0</v>
      </c>
      <c r="E23" s="5" t="s">
        <v>82</v>
      </c>
      <c r="F23" s="5" t="s">
        <v>44</v>
      </c>
      <c r="G23" s="4">
        <v>2.5</v>
      </c>
      <c r="H23" s="5" t="s">
        <v>17</v>
      </c>
      <c r="I23" s="5" t="s">
        <v>35</v>
      </c>
      <c r="J23" s="6">
        <v>39.92446</v>
      </c>
      <c r="K23" s="6">
        <v>-105.69068</v>
      </c>
      <c r="L23" s="5" t="s">
        <v>45</v>
      </c>
      <c r="M23" s="5" t="s">
        <v>46</v>
      </c>
      <c r="N23" s="4">
        <v>2.0</v>
      </c>
      <c r="O23" s="5" t="s">
        <v>83</v>
      </c>
      <c r="P23" s="7">
        <v>44933.0</v>
      </c>
    </row>
    <row r="24">
      <c r="A24" s="4">
        <v>2023.0</v>
      </c>
      <c r="B24" s="4">
        <v>2022.0</v>
      </c>
      <c r="C24" s="4">
        <v>12.0</v>
      </c>
      <c r="D24" s="4">
        <v>31.0</v>
      </c>
      <c r="E24" s="5" t="s">
        <v>84</v>
      </c>
      <c r="F24" s="5" t="s">
        <v>44</v>
      </c>
      <c r="G24" s="4">
        <v>3.0</v>
      </c>
      <c r="H24" s="5" t="s">
        <v>17</v>
      </c>
      <c r="I24" s="5" t="s">
        <v>85</v>
      </c>
      <c r="J24" s="6">
        <v>45.05148</v>
      </c>
      <c r="K24" s="6">
        <v>-109.96152</v>
      </c>
      <c r="L24" s="5" t="s">
        <v>45</v>
      </c>
      <c r="M24" s="5" t="s">
        <v>46</v>
      </c>
      <c r="N24" s="4">
        <v>1.0</v>
      </c>
      <c r="O24" s="5" t="s">
        <v>47</v>
      </c>
      <c r="P24" s="7">
        <v>44926.0</v>
      </c>
    </row>
    <row r="25">
      <c r="A25" s="4">
        <v>2023.0</v>
      </c>
      <c r="B25" s="4">
        <v>2022.0</v>
      </c>
      <c r="C25" s="4">
        <v>12.0</v>
      </c>
      <c r="D25" s="4">
        <v>31.0</v>
      </c>
      <c r="E25" s="5" t="s">
        <v>86</v>
      </c>
      <c r="F25" s="5" t="s">
        <v>34</v>
      </c>
      <c r="G25" s="4">
        <v>2.0</v>
      </c>
      <c r="H25" s="5" t="s">
        <v>17</v>
      </c>
      <c r="I25" s="5" t="s">
        <v>35</v>
      </c>
      <c r="J25" s="6">
        <v>39.4521</v>
      </c>
      <c r="K25" s="6">
        <v>-106.0758069</v>
      </c>
      <c r="L25" s="5" t="s">
        <v>51</v>
      </c>
      <c r="M25" s="5" t="s">
        <v>25</v>
      </c>
      <c r="N25" s="4">
        <v>1.0</v>
      </c>
      <c r="O25" s="5" t="s">
        <v>87</v>
      </c>
      <c r="P25" s="7">
        <v>44926.0</v>
      </c>
    </row>
    <row r="26">
      <c r="A26" s="4">
        <v>2023.0</v>
      </c>
      <c r="B26" s="4">
        <v>2022.0</v>
      </c>
      <c r="C26" s="4">
        <v>12.0</v>
      </c>
      <c r="D26" s="4">
        <v>26.0</v>
      </c>
      <c r="E26" s="5" t="s">
        <v>88</v>
      </c>
      <c r="F26" s="5" t="s">
        <v>58</v>
      </c>
      <c r="G26" s="4">
        <v>2.0</v>
      </c>
      <c r="H26" s="5" t="s">
        <v>17</v>
      </c>
      <c r="I26" s="5" t="s">
        <v>35</v>
      </c>
      <c r="J26" s="6">
        <v>39.802025</v>
      </c>
      <c r="K26" s="6">
        <v>-105.781271</v>
      </c>
      <c r="L26" s="5" t="s">
        <v>24</v>
      </c>
      <c r="M26" s="5" t="s">
        <v>25</v>
      </c>
      <c r="N26" s="4">
        <v>1.0</v>
      </c>
      <c r="O26" s="5" t="s">
        <v>89</v>
      </c>
      <c r="P26" s="7">
        <v>44921.0</v>
      </c>
    </row>
    <row r="27">
      <c r="A27" s="1">
        <v>2022.0</v>
      </c>
      <c r="B27" s="1">
        <v>2022.0</v>
      </c>
      <c r="C27" s="1">
        <v>5.0</v>
      </c>
      <c r="D27" s="1">
        <v>29.0</v>
      </c>
      <c r="E27" s="1" t="s">
        <v>90</v>
      </c>
      <c r="F27" s="1" t="s">
        <v>23</v>
      </c>
      <c r="G27" s="1">
        <v>3.0</v>
      </c>
      <c r="H27" s="1" t="s">
        <v>17</v>
      </c>
      <c r="I27" s="1" t="s">
        <v>35</v>
      </c>
      <c r="J27" s="1">
        <v>40.25337</v>
      </c>
      <c r="K27" s="1">
        <v>-105.600944</v>
      </c>
      <c r="L27" s="1" t="s">
        <v>29</v>
      </c>
      <c r="M27" s="1" t="s">
        <v>20</v>
      </c>
      <c r="N27" s="1">
        <v>1.0</v>
      </c>
      <c r="O27" s="1" t="s">
        <v>91</v>
      </c>
      <c r="P27" s="8">
        <f t="shared" ref="P27:P982" si="1">DATE(B27,C27,D27)</f>
        <v>44710</v>
      </c>
    </row>
    <row r="28">
      <c r="A28" s="1">
        <v>2022.0</v>
      </c>
      <c r="B28" s="1">
        <v>2022.0</v>
      </c>
      <c r="C28" s="1">
        <v>4.0</v>
      </c>
      <c r="D28" s="1">
        <v>25.0</v>
      </c>
      <c r="E28" s="1" t="s">
        <v>92</v>
      </c>
      <c r="F28" s="1" t="s">
        <v>34</v>
      </c>
      <c r="G28" s="1">
        <v>2.0</v>
      </c>
      <c r="H28" s="1" t="s">
        <v>17</v>
      </c>
      <c r="I28" s="1" t="s">
        <v>28</v>
      </c>
      <c r="J28" s="1">
        <v>61.1262988</v>
      </c>
      <c r="K28" s="1">
        <v>-145.7271624</v>
      </c>
      <c r="L28" s="1" t="s">
        <v>93</v>
      </c>
      <c r="M28" s="1" t="s">
        <v>25</v>
      </c>
      <c r="N28" s="1">
        <v>1.0</v>
      </c>
      <c r="O28" s="1" t="s">
        <v>94</v>
      </c>
      <c r="P28" s="8">
        <f t="shared" si="1"/>
        <v>44676</v>
      </c>
    </row>
    <row r="29">
      <c r="A29" s="1">
        <v>2022.0</v>
      </c>
      <c r="B29" s="1">
        <v>2022.0</v>
      </c>
      <c r="C29" s="1">
        <v>3.0</v>
      </c>
      <c r="D29" s="1">
        <v>19.0</v>
      </c>
      <c r="E29" s="1" t="s">
        <v>95</v>
      </c>
      <c r="F29" s="1" t="s">
        <v>34</v>
      </c>
      <c r="G29" s="1">
        <v>2.0</v>
      </c>
      <c r="H29" s="1" t="s">
        <v>17</v>
      </c>
      <c r="I29" s="1" t="s">
        <v>35</v>
      </c>
      <c r="J29" s="1">
        <v>40.50566</v>
      </c>
      <c r="K29" s="1">
        <v>-106.72047</v>
      </c>
      <c r="L29" s="1" t="s">
        <v>24</v>
      </c>
      <c r="M29" s="1" t="s">
        <v>25</v>
      </c>
      <c r="N29" s="1">
        <v>1.0</v>
      </c>
      <c r="O29" s="1" t="s">
        <v>69</v>
      </c>
      <c r="P29" s="8">
        <f t="shared" si="1"/>
        <v>44639</v>
      </c>
    </row>
    <row r="30">
      <c r="A30" s="1">
        <v>2022.0</v>
      </c>
      <c r="B30" s="1">
        <v>2022.0</v>
      </c>
      <c r="C30" s="1">
        <v>3.0</v>
      </c>
      <c r="D30" s="1">
        <v>17.0</v>
      </c>
      <c r="E30" s="1" t="s">
        <v>96</v>
      </c>
      <c r="F30" s="1" t="s">
        <v>58</v>
      </c>
      <c r="G30" s="1">
        <v>2.5</v>
      </c>
      <c r="H30" s="1" t="s">
        <v>17</v>
      </c>
      <c r="I30" s="1" t="s">
        <v>35</v>
      </c>
      <c r="J30" s="1">
        <v>37.811</v>
      </c>
      <c r="K30" s="1">
        <v>-107.838</v>
      </c>
      <c r="L30" s="1" t="s">
        <v>24</v>
      </c>
      <c r="M30" s="1" t="s">
        <v>60</v>
      </c>
      <c r="N30" s="1">
        <v>1.0</v>
      </c>
      <c r="O30" s="1" t="s">
        <v>97</v>
      </c>
      <c r="P30" s="8">
        <f t="shared" si="1"/>
        <v>44637</v>
      </c>
    </row>
    <row r="31">
      <c r="A31" s="1">
        <v>2022.0</v>
      </c>
      <c r="B31" s="1">
        <v>2022.0</v>
      </c>
      <c r="C31" s="1">
        <v>3.0</v>
      </c>
      <c r="D31" s="1">
        <v>17.0</v>
      </c>
      <c r="E31" s="1" t="s">
        <v>98</v>
      </c>
      <c r="F31" s="1" t="s">
        <v>34</v>
      </c>
      <c r="G31" s="1">
        <v>2.5</v>
      </c>
      <c r="H31" s="1" t="s">
        <v>17</v>
      </c>
      <c r="I31" s="1" t="s">
        <v>74</v>
      </c>
      <c r="J31" s="1">
        <v>43.594646</v>
      </c>
      <c r="K31" s="1">
        <v>-111.011139</v>
      </c>
      <c r="L31" s="1" t="s">
        <v>24</v>
      </c>
      <c r="M31" s="1" t="s">
        <v>25</v>
      </c>
      <c r="N31" s="1">
        <v>1.0</v>
      </c>
      <c r="O31" s="1" t="s">
        <v>99</v>
      </c>
      <c r="P31" s="8">
        <f t="shared" si="1"/>
        <v>44637</v>
      </c>
    </row>
    <row r="32">
      <c r="A32" s="1">
        <v>2022.0</v>
      </c>
      <c r="B32" s="1">
        <v>2022.0</v>
      </c>
      <c r="C32" s="1">
        <v>3.0</v>
      </c>
      <c r="D32" s="1">
        <v>12.0</v>
      </c>
      <c r="E32" s="1" t="s">
        <v>100</v>
      </c>
      <c r="F32" s="1" t="s">
        <v>44</v>
      </c>
      <c r="G32" s="1">
        <v>2.0</v>
      </c>
      <c r="H32" s="1" t="s">
        <v>17</v>
      </c>
      <c r="I32" s="1" t="s">
        <v>74</v>
      </c>
      <c r="J32" s="1">
        <v>41.08325</v>
      </c>
      <c r="K32" s="1">
        <v>-106.88938</v>
      </c>
      <c r="L32" s="1" t="s">
        <v>45</v>
      </c>
      <c r="M32" s="1" t="s">
        <v>46</v>
      </c>
      <c r="N32" s="1">
        <v>1.0</v>
      </c>
      <c r="O32" s="1" t="s">
        <v>47</v>
      </c>
      <c r="P32" s="8">
        <f t="shared" si="1"/>
        <v>44632</v>
      </c>
    </row>
    <row r="33">
      <c r="A33" s="1">
        <v>2022.0</v>
      </c>
      <c r="B33" s="1">
        <v>2022.0</v>
      </c>
      <c r="C33" s="1">
        <v>2.0</v>
      </c>
      <c r="D33" s="1">
        <v>25.0</v>
      </c>
      <c r="E33" s="1" t="s">
        <v>101</v>
      </c>
      <c r="F33" s="1" t="s">
        <v>102</v>
      </c>
      <c r="G33" s="1">
        <v>2.0</v>
      </c>
      <c r="H33" s="1" t="s">
        <v>17</v>
      </c>
      <c r="I33" s="1" t="s">
        <v>35</v>
      </c>
      <c r="J33" s="1">
        <v>39.0633427</v>
      </c>
      <c r="K33" s="1">
        <v>-107.1758918</v>
      </c>
      <c r="L33" s="1" t="s">
        <v>41</v>
      </c>
      <c r="M33" s="1" t="s">
        <v>103</v>
      </c>
      <c r="N33" s="1">
        <v>1.0</v>
      </c>
      <c r="O33" s="1" t="s">
        <v>104</v>
      </c>
      <c r="P33" s="8">
        <f t="shared" si="1"/>
        <v>44617</v>
      </c>
    </row>
    <row r="34">
      <c r="A34" s="1">
        <v>2022.0</v>
      </c>
      <c r="B34" s="1">
        <v>2022.0</v>
      </c>
      <c r="C34" s="1">
        <v>2.0</v>
      </c>
      <c r="D34" s="1">
        <v>19.0</v>
      </c>
      <c r="E34" s="1" t="s">
        <v>105</v>
      </c>
      <c r="F34" s="1" t="s">
        <v>106</v>
      </c>
      <c r="G34" s="1">
        <v>3.0</v>
      </c>
      <c r="H34" s="1" t="s">
        <v>17</v>
      </c>
      <c r="I34" s="1" t="s">
        <v>85</v>
      </c>
      <c r="J34" s="1">
        <v>45.0466424</v>
      </c>
      <c r="K34" s="1">
        <v>-109.9771345</v>
      </c>
      <c r="L34" s="1" t="s">
        <v>45</v>
      </c>
      <c r="M34" s="1" t="s">
        <v>107</v>
      </c>
      <c r="N34" s="1">
        <v>1.0</v>
      </c>
      <c r="O34" s="1" t="s">
        <v>108</v>
      </c>
      <c r="P34" s="8">
        <f t="shared" si="1"/>
        <v>44611</v>
      </c>
    </row>
    <row r="35">
      <c r="A35" s="1">
        <v>2022.0</v>
      </c>
      <c r="B35" s="1">
        <v>2022.0</v>
      </c>
      <c r="C35" s="1">
        <v>2.0</v>
      </c>
      <c r="D35" s="1">
        <v>6.0</v>
      </c>
      <c r="E35" s="1" t="s">
        <v>109</v>
      </c>
      <c r="F35" s="1" t="s">
        <v>44</v>
      </c>
      <c r="G35" s="1">
        <v>2.0</v>
      </c>
      <c r="H35" s="1" t="s">
        <v>17</v>
      </c>
      <c r="I35" s="1" t="s">
        <v>85</v>
      </c>
      <c r="J35" s="1">
        <v>44.7007794</v>
      </c>
      <c r="K35" s="1">
        <v>-111.2909701</v>
      </c>
      <c r="L35" s="1" t="s">
        <v>45</v>
      </c>
      <c r="M35" s="1" t="s">
        <v>46</v>
      </c>
      <c r="N35" s="1">
        <v>1.0</v>
      </c>
      <c r="O35" s="1" t="s">
        <v>110</v>
      </c>
      <c r="P35" s="8">
        <f t="shared" si="1"/>
        <v>44598</v>
      </c>
    </row>
    <row r="36">
      <c r="A36" s="1">
        <v>2022.0</v>
      </c>
      <c r="B36" s="1">
        <v>2022.0</v>
      </c>
      <c r="C36" s="1">
        <v>1.0</v>
      </c>
      <c r="D36" s="1">
        <v>8.0</v>
      </c>
      <c r="E36" s="1" t="s">
        <v>111</v>
      </c>
      <c r="F36" s="1" t="s">
        <v>102</v>
      </c>
      <c r="G36" s="1">
        <v>2.0</v>
      </c>
      <c r="H36" s="1" t="s">
        <v>17</v>
      </c>
      <c r="I36" s="1" t="s">
        <v>35</v>
      </c>
      <c r="J36" s="1">
        <v>39.3698477</v>
      </c>
      <c r="K36" s="1">
        <v>-106.0733894</v>
      </c>
      <c r="L36" s="1" t="s">
        <v>19</v>
      </c>
      <c r="M36" s="1" t="s">
        <v>103</v>
      </c>
      <c r="N36" s="1">
        <v>2.0</v>
      </c>
      <c r="O36" s="1" t="s">
        <v>112</v>
      </c>
      <c r="P36" s="8">
        <f t="shared" si="1"/>
        <v>44569</v>
      </c>
    </row>
    <row r="37">
      <c r="A37" s="1">
        <v>2022.0</v>
      </c>
      <c r="B37" s="1">
        <v>2021.0</v>
      </c>
      <c r="C37" s="1">
        <v>12.0</v>
      </c>
      <c r="D37" s="1">
        <v>27.0</v>
      </c>
      <c r="E37" s="1" t="s">
        <v>113</v>
      </c>
      <c r="F37" s="1" t="s">
        <v>44</v>
      </c>
      <c r="G37" s="1">
        <v>2.5</v>
      </c>
      <c r="H37" s="1" t="s">
        <v>17</v>
      </c>
      <c r="I37" s="1" t="s">
        <v>85</v>
      </c>
      <c r="J37" s="1">
        <v>45.07147</v>
      </c>
      <c r="K37" s="1">
        <v>-109.94407</v>
      </c>
      <c r="L37" s="1" t="s">
        <v>45</v>
      </c>
      <c r="M37" s="1" t="s">
        <v>46</v>
      </c>
      <c r="N37" s="1">
        <v>2.0</v>
      </c>
      <c r="O37" s="1" t="s">
        <v>83</v>
      </c>
      <c r="P37" s="8">
        <f t="shared" si="1"/>
        <v>44557</v>
      </c>
    </row>
    <row r="38">
      <c r="A38" s="1">
        <v>2022.0</v>
      </c>
      <c r="B38" s="1">
        <v>2021.0</v>
      </c>
      <c r="C38" s="1">
        <v>12.0</v>
      </c>
      <c r="D38" s="1">
        <v>24.0</v>
      </c>
      <c r="E38" s="1" t="s">
        <v>114</v>
      </c>
      <c r="F38" s="1" t="s">
        <v>34</v>
      </c>
      <c r="G38" s="1">
        <v>2.0</v>
      </c>
      <c r="H38" s="1" t="s">
        <v>17</v>
      </c>
      <c r="I38" s="1" t="s">
        <v>35</v>
      </c>
      <c r="J38" s="1">
        <v>40.5108549</v>
      </c>
      <c r="K38" s="1">
        <v>-105.8907319</v>
      </c>
      <c r="L38" s="1" t="s">
        <v>24</v>
      </c>
      <c r="M38" s="1" t="s">
        <v>25</v>
      </c>
      <c r="N38" s="1">
        <v>1.0</v>
      </c>
      <c r="O38" s="1" t="s">
        <v>115</v>
      </c>
      <c r="P38" s="8">
        <f t="shared" si="1"/>
        <v>44554</v>
      </c>
    </row>
    <row r="39">
      <c r="A39" s="1">
        <v>2022.0</v>
      </c>
      <c r="B39" s="1">
        <v>2021.0</v>
      </c>
      <c r="C39" s="1">
        <v>12.0</v>
      </c>
      <c r="D39" s="1">
        <v>17.0</v>
      </c>
      <c r="E39" s="1" t="s">
        <v>116</v>
      </c>
      <c r="F39" s="1" t="s">
        <v>117</v>
      </c>
      <c r="G39" s="1">
        <v>2.0</v>
      </c>
      <c r="H39" s="1" t="s">
        <v>17</v>
      </c>
      <c r="I39" s="1" t="s">
        <v>49</v>
      </c>
      <c r="J39" s="1">
        <v>43.7069491</v>
      </c>
      <c r="K39" s="1">
        <v>-111.3444239</v>
      </c>
      <c r="L39" s="1" t="s">
        <v>118</v>
      </c>
      <c r="M39" s="1" t="s">
        <v>46</v>
      </c>
      <c r="N39" s="1">
        <v>2.0</v>
      </c>
      <c r="O39" s="1" t="s">
        <v>119</v>
      </c>
      <c r="P39" s="8">
        <f t="shared" si="1"/>
        <v>44547</v>
      </c>
    </row>
    <row r="40">
      <c r="A40" s="1">
        <v>2022.0</v>
      </c>
      <c r="B40" s="1">
        <v>2021.0</v>
      </c>
      <c r="C40" s="1">
        <v>12.0</v>
      </c>
      <c r="D40" s="1">
        <v>11.0</v>
      </c>
      <c r="E40" s="1" t="s">
        <v>120</v>
      </c>
      <c r="F40" s="1" t="s">
        <v>34</v>
      </c>
      <c r="G40" s="1">
        <v>2.5</v>
      </c>
      <c r="H40" s="1" t="s">
        <v>121</v>
      </c>
      <c r="I40" s="1" t="s">
        <v>77</v>
      </c>
      <c r="J40" s="1">
        <v>46.9037942</v>
      </c>
      <c r="K40" s="1">
        <v>-121.4954424</v>
      </c>
      <c r="L40" s="1" t="s">
        <v>24</v>
      </c>
      <c r="M40" s="1" t="s">
        <v>25</v>
      </c>
      <c r="N40" s="1">
        <v>1.0</v>
      </c>
      <c r="O40" s="1" t="s">
        <v>122</v>
      </c>
      <c r="P40" s="8">
        <f t="shared" si="1"/>
        <v>44541</v>
      </c>
    </row>
    <row r="41">
      <c r="A41" s="1">
        <v>2021.0</v>
      </c>
      <c r="B41" s="1">
        <v>2021.0</v>
      </c>
      <c r="C41" s="1">
        <v>5.0</v>
      </c>
      <c r="D41" s="1">
        <v>13.0</v>
      </c>
      <c r="E41" s="1" t="s">
        <v>123</v>
      </c>
      <c r="F41" s="1" t="s">
        <v>23</v>
      </c>
      <c r="G41" s="1"/>
      <c r="H41" s="1" t="s">
        <v>17</v>
      </c>
      <c r="I41" s="1" t="s">
        <v>28</v>
      </c>
      <c r="J41" s="1">
        <v>62.99264</v>
      </c>
      <c r="K41" s="1">
        <v>-150.71404</v>
      </c>
      <c r="L41" s="1" t="s">
        <v>29</v>
      </c>
      <c r="M41" s="1" t="s">
        <v>20</v>
      </c>
      <c r="N41" s="1">
        <v>1.0</v>
      </c>
      <c r="O41" s="1" t="s">
        <v>124</v>
      </c>
      <c r="P41" s="8">
        <f t="shared" si="1"/>
        <v>44329</v>
      </c>
    </row>
    <row r="42">
      <c r="A42" s="1">
        <v>2021.0</v>
      </c>
      <c r="B42" s="1">
        <v>2021.0</v>
      </c>
      <c r="C42" s="1">
        <v>3.0</v>
      </c>
      <c r="D42" s="1">
        <v>27.0</v>
      </c>
      <c r="E42" s="1" t="s">
        <v>125</v>
      </c>
      <c r="F42" s="1" t="s">
        <v>38</v>
      </c>
      <c r="G42" s="1"/>
      <c r="H42" s="1" t="s">
        <v>17</v>
      </c>
      <c r="I42" s="1" t="s">
        <v>28</v>
      </c>
      <c r="J42" s="1">
        <v>61.79476</v>
      </c>
      <c r="K42" s="1">
        <v>-147.73927</v>
      </c>
      <c r="L42" s="1" t="s">
        <v>126</v>
      </c>
      <c r="M42" s="1" t="s">
        <v>25</v>
      </c>
      <c r="N42" s="1">
        <v>1.0</v>
      </c>
      <c r="O42" s="1" t="s">
        <v>127</v>
      </c>
      <c r="P42" s="8">
        <f t="shared" si="1"/>
        <v>44282</v>
      </c>
    </row>
    <row r="43">
      <c r="A43" s="1">
        <v>2021.0</v>
      </c>
      <c r="B43" s="1">
        <v>2021.0</v>
      </c>
      <c r="C43" s="1">
        <v>3.0</v>
      </c>
      <c r="D43" s="1">
        <v>22.0</v>
      </c>
      <c r="E43" s="1" t="s">
        <v>128</v>
      </c>
      <c r="F43" s="1" t="s">
        <v>34</v>
      </c>
      <c r="G43" s="1"/>
      <c r="H43" s="1" t="s">
        <v>17</v>
      </c>
      <c r="I43" s="1" t="s">
        <v>35</v>
      </c>
      <c r="J43" s="1">
        <v>39.5776</v>
      </c>
      <c r="K43" s="1">
        <v>-106.5548</v>
      </c>
      <c r="L43" s="1" t="s">
        <v>51</v>
      </c>
      <c r="M43" s="1" t="s">
        <v>25</v>
      </c>
      <c r="N43" s="1">
        <v>1.0</v>
      </c>
      <c r="O43" s="1" t="s">
        <v>129</v>
      </c>
      <c r="P43" s="8">
        <f t="shared" si="1"/>
        <v>44277</v>
      </c>
    </row>
    <row r="44">
      <c r="A44" s="1">
        <v>2021.0</v>
      </c>
      <c r="B44" s="1">
        <v>2021.0</v>
      </c>
      <c r="C44" s="1">
        <v>3.0</v>
      </c>
      <c r="D44" s="1">
        <v>20.0</v>
      </c>
      <c r="E44" s="1" t="s">
        <v>130</v>
      </c>
      <c r="F44" s="1" t="s">
        <v>76</v>
      </c>
      <c r="G44" s="1">
        <v>2.0</v>
      </c>
      <c r="H44" s="1" t="s">
        <v>17</v>
      </c>
      <c r="I44" s="1" t="s">
        <v>18</v>
      </c>
      <c r="J44" s="1">
        <v>39.36713</v>
      </c>
      <c r="K44" s="1">
        <v>-120.32926</v>
      </c>
      <c r="L44" s="1" t="s">
        <v>45</v>
      </c>
      <c r="M44" s="1" t="s">
        <v>20</v>
      </c>
      <c r="N44" s="1">
        <v>1.0</v>
      </c>
      <c r="O44" s="1" t="s">
        <v>63</v>
      </c>
      <c r="P44" s="8">
        <f t="shared" si="1"/>
        <v>44275</v>
      </c>
    </row>
    <row r="45">
      <c r="A45" s="1">
        <v>2021.0</v>
      </c>
      <c r="B45" s="1">
        <v>2021.0</v>
      </c>
      <c r="C45" s="1">
        <v>2.0</v>
      </c>
      <c r="D45" s="1">
        <v>27.0</v>
      </c>
      <c r="E45" s="1" t="s">
        <v>131</v>
      </c>
      <c r="F45" s="1" t="s">
        <v>44</v>
      </c>
      <c r="G45" s="1">
        <v>3.0</v>
      </c>
      <c r="H45" s="1" t="s">
        <v>17</v>
      </c>
      <c r="I45" s="1" t="s">
        <v>49</v>
      </c>
      <c r="J45" s="1">
        <v>47.537</v>
      </c>
      <c r="K45" s="1">
        <v>-115.82937</v>
      </c>
      <c r="L45" s="1" t="s">
        <v>45</v>
      </c>
      <c r="M45" s="1" t="s">
        <v>46</v>
      </c>
      <c r="N45" s="1">
        <v>1.0</v>
      </c>
      <c r="O45" s="1" t="s">
        <v>132</v>
      </c>
      <c r="P45" s="8">
        <f t="shared" si="1"/>
        <v>44254</v>
      </c>
    </row>
    <row r="46">
      <c r="A46" s="1">
        <v>2021.0</v>
      </c>
      <c r="B46" s="1">
        <v>2021.0</v>
      </c>
      <c r="C46" s="1">
        <v>2.0</v>
      </c>
      <c r="D46" s="1">
        <v>22.0</v>
      </c>
      <c r="E46" s="1" t="s">
        <v>133</v>
      </c>
      <c r="F46" s="1" t="s">
        <v>58</v>
      </c>
      <c r="G46" s="1">
        <v>2.0</v>
      </c>
      <c r="H46" s="1" t="s">
        <v>17</v>
      </c>
      <c r="I46" s="1" t="s">
        <v>74</v>
      </c>
      <c r="J46" s="1">
        <v>43.69679</v>
      </c>
      <c r="K46" s="1">
        <v>-110.79015</v>
      </c>
      <c r="L46" s="1" t="s">
        <v>24</v>
      </c>
      <c r="M46" s="1" t="s">
        <v>60</v>
      </c>
      <c r="N46" s="1">
        <v>1.0</v>
      </c>
      <c r="O46" s="1" t="s">
        <v>134</v>
      </c>
      <c r="P46" s="8">
        <f t="shared" si="1"/>
        <v>44249</v>
      </c>
    </row>
    <row r="47">
      <c r="A47" s="1">
        <v>2021.0</v>
      </c>
      <c r="B47" s="1">
        <v>2021.0</v>
      </c>
      <c r="C47" s="1">
        <v>2.0</v>
      </c>
      <c r="D47" s="1">
        <v>20.0</v>
      </c>
      <c r="E47" s="1" t="s">
        <v>135</v>
      </c>
      <c r="F47" s="1" t="s">
        <v>38</v>
      </c>
      <c r="G47" s="1"/>
      <c r="H47" s="1" t="s">
        <v>17</v>
      </c>
      <c r="I47" s="1" t="s">
        <v>49</v>
      </c>
      <c r="J47" s="1">
        <v>42.46526</v>
      </c>
      <c r="K47" s="1">
        <v>-111.54934</v>
      </c>
      <c r="L47" s="2" t="s">
        <v>45</v>
      </c>
      <c r="M47" s="1" t="s">
        <v>46</v>
      </c>
      <c r="N47" s="1">
        <v>1.0</v>
      </c>
      <c r="O47" s="1" t="s">
        <v>136</v>
      </c>
      <c r="P47" s="8">
        <f t="shared" si="1"/>
        <v>44247</v>
      </c>
    </row>
    <row r="48">
      <c r="A48" s="1">
        <v>2021.0</v>
      </c>
      <c r="B48" s="1">
        <v>2021.0</v>
      </c>
      <c r="C48" s="1">
        <v>2.0</v>
      </c>
      <c r="D48" s="1">
        <v>20.0</v>
      </c>
      <c r="E48" s="1" t="s">
        <v>137</v>
      </c>
      <c r="F48" s="1" t="s">
        <v>38</v>
      </c>
      <c r="G48" s="1"/>
      <c r="H48" s="1" t="s">
        <v>17</v>
      </c>
      <c r="I48" s="1" t="s">
        <v>80</v>
      </c>
      <c r="J48" s="1">
        <v>40.56855</v>
      </c>
      <c r="K48" s="1">
        <v>-115.39873</v>
      </c>
      <c r="L48" s="2" t="s">
        <v>45</v>
      </c>
      <c r="M48" s="1" t="s">
        <v>46</v>
      </c>
      <c r="N48" s="1">
        <v>1.0</v>
      </c>
      <c r="O48" s="1" t="s">
        <v>138</v>
      </c>
      <c r="P48" s="8">
        <f t="shared" si="1"/>
        <v>44247</v>
      </c>
    </row>
    <row r="49">
      <c r="A49" s="1">
        <v>2021.0</v>
      </c>
      <c r="B49" s="1">
        <v>2021.0</v>
      </c>
      <c r="C49" s="1">
        <v>2.0</v>
      </c>
      <c r="D49" s="1">
        <v>19.0</v>
      </c>
      <c r="E49" s="1" t="s">
        <v>139</v>
      </c>
      <c r="F49" s="1" t="s">
        <v>44</v>
      </c>
      <c r="G49" s="1">
        <v>2.5</v>
      </c>
      <c r="H49" s="1" t="s">
        <v>17</v>
      </c>
      <c r="I49" s="1" t="s">
        <v>49</v>
      </c>
      <c r="J49" s="1">
        <v>43.812</v>
      </c>
      <c r="K49" s="1">
        <v>-114.84442</v>
      </c>
      <c r="L49" s="2" t="s">
        <v>45</v>
      </c>
      <c r="M49" s="1" t="s">
        <v>46</v>
      </c>
      <c r="N49" s="1">
        <v>1.0</v>
      </c>
      <c r="O49" s="1" t="s">
        <v>140</v>
      </c>
      <c r="P49" s="8">
        <f t="shared" si="1"/>
        <v>44246</v>
      </c>
    </row>
    <row r="50">
      <c r="A50" s="1">
        <v>2021.0</v>
      </c>
      <c r="B50" s="1">
        <v>2021.0</v>
      </c>
      <c r="C50" s="1">
        <v>2.0</v>
      </c>
      <c r="D50" s="1">
        <v>18.0</v>
      </c>
      <c r="E50" s="1" t="s">
        <v>141</v>
      </c>
      <c r="F50" s="1" t="s">
        <v>58</v>
      </c>
      <c r="G50" s="1">
        <v>2.0</v>
      </c>
      <c r="H50" s="1" t="s">
        <v>17</v>
      </c>
      <c r="I50" s="1" t="s">
        <v>74</v>
      </c>
      <c r="J50" s="1">
        <v>43.75778</v>
      </c>
      <c r="K50" s="1">
        <v>-110.06862</v>
      </c>
      <c r="L50" s="1" t="s">
        <v>24</v>
      </c>
      <c r="M50" s="1" t="s">
        <v>60</v>
      </c>
      <c r="N50" s="1">
        <v>1.0</v>
      </c>
      <c r="O50" s="1" t="s">
        <v>142</v>
      </c>
      <c r="P50" s="8">
        <f t="shared" si="1"/>
        <v>44245</v>
      </c>
    </row>
    <row r="51">
      <c r="A51" s="1">
        <v>2021.0</v>
      </c>
      <c r="B51" s="1">
        <v>2021.0</v>
      </c>
      <c r="C51" s="1">
        <v>2.0</v>
      </c>
      <c r="D51" s="1">
        <v>17.0</v>
      </c>
      <c r="E51" s="1" t="s">
        <v>143</v>
      </c>
      <c r="F51" s="1" t="s">
        <v>44</v>
      </c>
      <c r="G51" s="1">
        <v>2.0</v>
      </c>
      <c r="H51" s="1" t="s">
        <v>17</v>
      </c>
      <c r="I51" s="1" t="s">
        <v>74</v>
      </c>
      <c r="J51" s="1">
        <v>43.1507</v>
      </c>
      <c r="K51" s="1">
        <v>-110.9939</v>
      </c>
      <c r="L51" s="2" t="s">
        <v>45</v>
      </c>
      <c r="M51" s="1" t="s">
        <v>46</v>
      </c>
      <c r="N51" s="1">
        <v>1.0</v>
      </c>
      <c r="O51" s="1" t="s">
        <v>144</v>
      </c>
      <c r="P51" s="8">
        <f t="shared" si="1"/>
        <v>44244</v>
      </c>
    </row>
    <row r="52">
      <c r="A52" s="1">
        <v>2021.0</v>
      </c>
      <c r="B52" s="1">
        <v>2021.0</v>
      </c>
      <c r="C52" s="1">
        <v>2.0</v>
      </c>
      <c r="D52" s="1">
        <v>16.0</v>
      </c>
      <c r="E52" s="1" t="s">
        <v>145</v>
      </c>
      <c r="F52" s="1" t="s">
        <v>44</v>
      </c>
      <c r="G52" s="1">
        <v>3.0</v>
      </c>
      <c r="H52" s="1" t="s">
        <v>17</v>
      </c>
      <c r="I52" s="1" t="s">
        <v>35</v>
      </c>
      <c r="J52" s="1">
        <v>40.3544</v>
      </c>
      <c r="K52" s="1">
        <v>-105.96973</v>
      </c>
      <c r="L52" s="2" t="s">
        <v>45</v>
      </c>
      <c r="M52" s="1" t="s">
        <v>46</v>
      </c>
      <c r="N52" s="1">
        <v>1.0</v>
      </c>
      <c r="O52" s="1" t="s">
        <v>146</v>
      </c>
      <c r="P52" s="8">
        <f t="shared" si="1"/>
        <v>44243</v>
      </c>
    </row>
    <row r="53">
      <c r="A53" s="1">
        <v>2021.0</v>
      </c>
      <c r="B53" s="1">
        <v>2021.0</v>
      </c>
      <c r="C53" s="1">
        <v>2.0</v>
      </c>
      <c r="D53" s="1">
        <v>14.0</v>
      </c>
      <c r="E53" s="1" t="s">
        <v>147</v>
      </c>
      <c r="F53" s="1" t="s">
        <v>58</v>
      </c>
      <c r="G53" s="1">
        <v>2.5</v>
      </c>
      <c r="H53" s="1" t="s">
        <v>17</v>
      </c>
      <c r="I53" s="1" t="s">
        <v>85</v>
      </c>
      <c r="J53" s="1">
        <v>45.3407</v>
      </c>
      <c r="K53" s="1">
        <v>-111.391</v>
      </c>
      <c r="L53" s="1" t="s">
        <v>24</v>
      </c>
      <c r="M53" s="1" t="s">
        <v>60</v>
      </c>
      <c r="N53" s="1">
        <v>1.0</v>
      </c>
      <c r="O53" s="1" t="s">
        <v>148</v>
      </c>
      <c r="P53" s="8">
        <f t="shared" si="1"/>
        <v>44241</v>
      </c>
    </row>
    <row r="54">
      <c r="A54" s="1">
        <v>2021.0</v>
      </c>
      <c r="B54" s="1">
        <v>2021.0</v>
      </c>
      <c r="C54" s="1">
        <v>2.0</v>
      </c>
      <c r="D54" s="1">
        <v>14.0</v>
      </c>
      <c r="E54" s="1" t="s">
        <v>149</v>
      </c>
      <c r="F54" s="1" t="s">
        <v>58</v>
      </c>
      <c r="G54" s="1">
        <v>3.0</v>
      </c>
      <c r="H54" s="1" t="s">
        <v>17</v>
      </c>
      <c r="I54" s="1" t="s">
        <v>35</v>
      </c>
      <c r="J54" s="1">
        <v>39.6927</v>
      </c>
      <c r="K54" s="1">
        <v>-105.8909</v>
      </c>
      <c r="L54" s="1" t="s">
        <v>24</v>
      </c>
      <c r="M54" s="1" t="s">
        <v>60</v>
      </c>
      <c r="N54" s="1">
        <v>1.0</v>
      </c>
      <c r="O54" s="1" t="s">
        <v>150</v>
      </c>
      <c r="P54" s="8">
        <f t="shared" si="1"/>
        <v>44241</v>
      </c>
    </row>
    <row r="55">
      <c r="A55" s="1">
        <v>2021.0</v>
      </c>
      <c r="B55" s="1">
        <v>2021.0</v>
      </c>
      <c r="C55" s="1">
        <v>2.0</v>
      </c>
      <c r="D55" s="1">
        <v>14.0</v>
      </c>
      <c r="E55" s="1" t="s">
        <v>82</v>
      </c>
      <c r="F55" s="1" t="s">
        <v>44</v>
      </c>
      <c r="G55" s="1">
        <v>2.0</v>
      </c>
      <c r="H55" s="1" t="s">
        <v>17</v>
      </c>
      <c r="I55" s="1" t="s">
        <v>35</v>
      </c>
      <c r="J55" s="1">
        <v>39.93438</v>
      </c>
      <c r="K55" s="1">
        <v>-105.68267</v>
      </c>
      <c r="L55" s="2" t="s">
        <v>45</v>
      </c>
      <c r="M55" s="1" t="s">
        <v>46</v>
      </c>
      <c r="N55" s="1">
        <v>1.0</v>
      </c>
      <c r="O55" s="1" t="s">
        <v>110</v>
      </c>
      <c r="P55" s="8">
        <f t="shared" si="1"/>
        <v>44241</v>
      </c>
    </row>
    <row r="56">
      <c r="A56" s="1">
        <v>2021.0</v>
      </c>
      <c r="B56" s="1">
        <v>2021.0</v>
      </c>
      <c r="C56" s="1">
        <v>2.0</v>
      </c>
      <c r="D56" s="1">
        <v>8.0</v>
      </c>
      <c r="E56" s="1" t="s">
        <v>151</v>
      </c>
      <c r="F56" s="1" t="s">
        <v>106</v>
      </c>
      <c r="G56" s="1">
        <v>3.0</v>
      </c>
      <c r="H56" s="1" t="s">
        <v>17</v>
      </c>
      <c r="I56" s="1" t="s">
        <v>77</v>
      </c>
      <c r="J56" s="1">
        <v>47.37055</v>
      </c>
      <c r="K56" s="1">
        <v>-121.11164</v>
      </c>
      <c r="L56" s="2" t="s">
        <v>45</v>
      </c>
      <c r="M56" s="1" t="s">
        <v>107</v>
      </c>
      <c r="N56" s="1">
        <v>1.0</v>
      </c>
      <c r="O56" s="1" t="s">
        <v>152</v>
      </c>
      <c r="P56" s="8">
        <f t="shared" si="1"/>
        <v>44235</v>
      </c>
    </row>
    <row r="57">
      <c r="A57" s="1">
        <v>2021.0</v>
      </c>
      <c r="B57" s="1">
        <v>2021.0</v>
      </c>
      <c r="C57" s="1">
        <v>2.0</v>
      </c>
      <c r="D57" s="1">
        <v>6.0</v>
      </c>
      <c r="E57" s="1" t="s">
        <v>153</v>
      </c>
      <c r="F57" s="1" t="s">
        <v>34</v>
      </c>
      <c r="G57" s="1">
        <v>2.5</v>
      </c>
      <c r="H57" s="1" t="s">
        <v>17</v>
      </c>
      <c r="I57" s="1" t="s">
        <v>40</v>
      </c>
      <c r="J57" s="1">
        <v>40.67619</v>
      </c>
      <c r="K57" s="1">
        <v>-111.67168</v>
      </c>
      <c r="L57" s="1" t="s">
        <v>24</v>
      </c>
      <c r="M57" s="1" t="s">
        <v>25</v>
      </c>
      <c r="N57" s="1">
        <v>4.0</v>
      </c>
      <c r="O57" s="1" t="s">
        <v>154</v>
      </c>
      <c r="P57" s="8">
        <f t="shared" si="1"/>
        <v>44233</v>
      </c>
    </row>
    <row r="58">
      <c r="A58" s="1">
        <v>2021.0</v>
      </c>
      <c r="B58" s="1">
        <v>2021.0</v>
      </c>
      <c r="C58" s="1">
        <v>2.0</v>
      </c>
      <c r="D58" s="1">
        <v>6.0</v>
      </c>
      <c r="E58" s="1" t="s">
        <v>155</v>
      </c>
      <c r="F58" s="1" t="s">
        <v>44</v>
      </c>
      <c r="G58" s="1">
        <v>2.5</v>
      </c>
      <c r="H58" s="1" t="s">
        <v>17</v>
      </c>
      <c r="I58" s="1" t="s">
        <v>85</v>
      </c>
      <c r="J58" s="1">
        <v>48.23555</v>
      </c>
      <c r="K58" s="1">
        <v>-113.96937</v>
      </c>
      <c r="L58" s="2" t="s">
        <v>45</v>
      </c>
      <c r="M58" s="1" t="s">
        <v>46</v>
      </c>
      <c r="N58" s="1">
        <v>1.0</v>
      </c>
      <c r="O58" s="1" t="s">
        <v>156</v>
      </c>
      <c r="P58" s="8">
        <f t="shared" si="1"/>
        <v>44233</v>
      </c>
    </row>
    <row r="59">
      <c r="A59" s="1">
        <v>2021.0</v>
      </c>
      <c r="B59" s="1">
        <v>2021.0</v>
      </c>
      <c r="C59" s="1">
        <v>2.0</v>
      </c>
      <c r="D59" s="1">
        <v>4.0</v>
      </c>
      <c r="E59" s="1" t="s">
        <v>157</v>
      </c>
      <c r="F59" s="1" t="s">
        <v>34</v>
      </c>
      <c r="G59" s="1">
        <v>2.0</v>
      </c>
      <c r="H59" s="1" t="s">
        <v>17</v>
      </c>
      <c r="I59" s="1" t="s">
        <v>35</v>
      </c>
      <c r="J59" s="1">
        <v>39.6059</v>
      </c>
      <c r="K59" s="1">
        <v>-106.2956</v>
      </c>
      <c r="L59" s="1" t="s">
        <v>51</v>
      </c>
      <c r="M59" s="1" t="s">
        <v>25</v>
      </c>
      <c r="N59" s="1">
        <v>1.0</v>
      </c>
      <c r="O59" s="1" t="s">
        <v>158</v>
      </c>
      <c r="P59" s="8">
        <f t="shared" si="1"/>
        <v>44231</v>
      </c>
    </row>
    <row r="60">
      <c r="A60" s="1">
        <v>2021.0</v>
      </c>
      <c r="B60" s="1">
        <v>2021.0</v>
      </c>
      <c r="C60" s="1">
        <v>2.0</v>
      </c>
      <c r="D60" s="1">
        <v>3.0</v>
      </c>
      <c r="E60" s="1" t="s">
        <v>159</v>
      </c>
      <c r="F60" s="1" t="s">
        <v>34</v>
      </c>
      <c r="G60" s="1">
        <v>2.0</v>
      </c>
      <c r="H60" s="1" t="s">
        <v>17</v>
      </c>
      <c r="I60" s="1" t="s">
        <v>18</v>
      </c>
      <c r="J60" s="1">
        <v>41.39009</v>
      </c>
      <c r="K60" s="1">
        <v>-122.98229</v>
      </c>
      <c r="L60" s="2" t="s">
        <v>24</v>
      </c>
      <c r="M60" s="1" t="s">
        <v>25</v>
      </c>
      <c r="N60" s="1">
        <v>1.0</v>
      </c>
      <c r="O60" s="1" t="s">
        <v>160</v>
      </c>
      <c r="P60" s="8">
        <f t="shared" si="1"/>
        <v>44230</v>
      </c>
    </row>
    <row r="61">
      <c r="A61" s="1">
        <v>2021.0</v>
      </c>
      <c r="B61" s="1">
        <v>2021.0</v>
      </c>
      <c r="C61" s="1">
        <v>2.0</v>
      </c>
      <c r="D61" s="1">
        <v>2.0</v>
      </c>
      <c r="E61" s="1" t="s">
        <v>161</v>
      </c>
      <c r="F61" s="1" t="s">
        <v>38</v>
      </c>
      <c r="G61" s="1"/>
      <c r="H61" s="1" t="s">
        <v>17</v>
      </c>
      <c r="I61" s="1" t="s">
        <v>28</v>
      </c>
      <c r="J61" s="1">
        <v>61.41102</v>
      </c>
      <c r="K61" s="1">
        <v>-149.38629</v>
      </c>
      <c r="L61" s="1" t="s">
        <v>29</v>
      </c>
      <c r="M61" s="1" t="s">
        <v>20</v>
      </c>
      <c r="N61" s="1">
        <v>3.0</v>
      </c>
      <c r="O61" s="1" t="s">
        <v>162</v>
      </c>
      <c r="P61" s="8">
        <f t="shared" si="1"/>
        <v>44229</v>
      </c>
    </row>
    <row r="62">
      <c r="A62" s="1">
        <v>2021.0</v>
      </c>
      <c r="B62" s="1">
        <v>2021.0</v>
      </c>
      <c r="C62" s="1">
        <v>2.0</v>
      </c>
      <c r="D62" s="1">
        <v>1.0</v>
      </c>
      <c r="E62" s="1" t="s">
        <v>163</v>
      </c>
      <c r="F62" s="1" t="s">
        <v>34</v>
      </c>
      <c r="G62" s="1">
        <v>2.5</v>
      </c>
      <c r="H62" s="1" t="s">
        <v>17</v>
      </c>
      <c r="I62" s="1" t="s">
        <v>35</v>
      </c>
      <c r="J62" s="1">
        <v>37.84364</v>
      </c>
      <c r="K62" s="1">
        <v>-107.76892</v>
      </c>
      <c r="L62" s="1" t="s">
        <v>24</v>
      </c>
      <c r="M62" s="1" t="s">
        <v>25</v>
      </c>
      <c r="N62" s="1">
        <v>3.0</v>
      </c>
      <c r="O62" s="1" t="s">
        <v>164</v>
      </c>
      <c r="P62" s="8">
        <f t="shared" si="1"/>
        <v>44228</v>
      </c>
    </row>
    <row r="63">
      <c r="A63" s="1">
        <v>2021.0</v>
      </c>
      <c r="B63" s="1">
        <v>2021.0</v>
      </c>
      <c r="C63" s="1">
        <v>2.0</v>
      </c>
      <c r="D63" s="1">
        <v>1.0</v>
      </c>
      <c r="E63" s="1" t="s">
        <v>165</v>
      </c>
      <c r="F63" s="1" t="s">
        <v>38</v>
      </c>
      <c r="G63" s="1"/>
      <c r="H63" s="1" t="s">
        <v>17</v>
      </c>
      <c r="I63" s="1" t="s">
        <v>166</v>
      </c>
      <c r="J63" s="1">
        <v>44.25602</v>
      </c>
      <c r="K63" s="1">
        <v>-71.32073</v>
      </c>
      <c r="L63" s="1" t="s">
        <v>24</v>
      </c>
      <c r="M63" s="1" t="s">
        <v>25</v>
      </c>
      <c r="N63" s="1">
        <v>1.0</v>
      </c>
      <c r="O63" s="1" t="s">
        <v>167</v>
      </c>
      <c r="P63" s="8">
        <f t="shared" si="1"/>
        <v>44228</v>
      </c>
    </row>
    <row r="64">
      <c r="A64" s="1">
        <v>2021.0</v>
      </c>
      <c r="B64" s="1">
        <v>2021.0</v>
      </c>
      <c r="C64" s="1">
        <v>1.0</v>
      </c>
      <c r="D64" s="1">
        <v>30.0</v>
      </c>
      <c r="E64" s="1" t="s">
        <v>168</v>
      </c>
      <c r="F64" s="1" t="s">
        <v>34</v>
      </c>
      <c r="G64" s="1">
        <v>2.0</v>
      </c>
      <c r="H64" s="1" t="s">
        <v>17</v>
      </c>
      <c r="I64" s="1" t="s">
        <v>40</v>
      </c>
      <c r="J64" s="1">
        <v>40.66465</v>
      </c>
      <c r="K64" s="1">
        <v>-111.60109</v>
      </c>
      <c r="L64" s="1" t="s">
        <v>51</v>
      </c>
      <c r="M64" s="1" t="s">
        <v>25</v>
      </c>
      <c r="N64" s="1">
        <v>1.0</v>
      </c>
      <c r="O64" s="1" t="s">
        <v>169</v>
      </c>
      <c r="P64" s="8">
        <f t="shared" si="1"/>
        <v>44226</v>
      </c>
    </row>
    <row r="65">
      <c r="A65" s="1">
        <v>2021.0</v>
      </c>
      <c r="B65" s="1">
        <v>2021.0</v>
      </c>
      <c r="C65" s="1">
        <v>1.0</v>
      </c>
      <c r="D65" s="1">
        <v>8.0</v>
      </c>
      <c r="E65" s="1" t="s">
        <v>170</v>
      </c>
      <c r="F65" s="1" t="s">
        <v>58</v>
      </c>
      <c r="G65" s="1">
        <v>2.0</v>
      </c>
      <c r="H65" s="1" t="s">
        <v>17</v>
      </c>
      <c r="I65" s="1" t="s">
        <v>40</v>
      </c>
      <c r="J65" s="1">
        <v>40.6529</v>
      </c>
      <c r="K65" s="1">
        <v>-111.59156</v>
      </c>
      <c r="L65" s="1" t="s">
        <v>51</v>
      </c>
      <c r="M65" s="1" t="s">
        <v>60</v>
      </c>
      <c r="N65" s="1">
        <v>1.0</v>
      </c>
      <c r="O65" s="1" t="s">
        <v>171</v>
      </c>
      <c r="P65" s="8">
        <f t="shared" si="1"/>
        <v>44204</v>
      </c>
    </row>
    <row r="66">
      <c r="A66" s="1">
        <v>2021.0</v>
      </c>
      <c r="B66" s="1">
        <v>2020.0</v>
      </c>
      <c r="C66" s="1">
        <v>12.0</v>
      </c>
      <c r="D66" s="1">
        <v>26.0</v>
      </c>
      <c r="E66" s="1" t="s">
        <v>172</v>
      </c>
      <c r="F66" s="1" t="s">
        <v>34</v>
      </c>
      <c r="G66" s="1">
        <v>1.5</v>
      </c>
      <c r="H66" s="1" t="s">
        <v>17</v>
      </c>
      <c r="I66" s="1" t="s">
        <v>35</v>
      </c>
      <c r="J66" s="1">
        <v>39.8261</v>
      </c>
      <c r="K66" s="1">
        <v>-105.772</v>
      </c>
      <c r="L66" s="2" t="s">
        <v>24</v>
      </c>
      <c r="M66" s="1" t="s">
        <v>25</v>
      </c>
      <c r="N66" s="1">
        <v>1.0</v>
      </c>
      <c r="O66" s="1" t="s">
        <v>169</v>
      </c>
      <c r="P66" s="8">
        <f t="shared" si="1"/>
        <v>44191</v>
      </c>
    </row>
    <row r="67">
      <c r="A67" s="1">
        <v>2021.0</v>
      </c>
      <c r="B67" s="1">
        <v>2020.0</v>
      </c>
      <c r="C67" s="1">
        <v>12.0</v>
      </c>
      <c r="D67" s="1">
        <v>19.0</v>
      </c>
      <c r="E67" s="1" t="s">
        <v>173</v>
      </c>
      <c r="F67" s="1" t="s">
        <v>34</v>
      </c>
      <c r="G67" s="1">
        <v>2.5</v>
      </c>
      <c r="H67" s="1" t="s">
        <v>17</v>
      </c>
      <c r="I67" s="1" t="s">
        <v>35</v>
      </c>
      <c r="J67" s="1">
        <v>37.82931</v>
      </c>
      <c r="K67" s="1">
        <v>-107.74661</v>
      </c>
      <c r="L67" s="2" t="s">
        <v>24</v>
      </c>
      <c r="M67" s="1" t="s">
        <v>25</v>
      </c>
      <c r="N67" s="1">
        <v>2.0</v>
      </c>
      <c r="O67" s="1" t="s">
        <v>71</v>
      </c>
      <c r="P67" s="8">
        <f t="shared" si="1"/>
        <v>44184</v>
      </c>
    </row>
    <row r="68">
      <c r="A68" s="1">
        <v>2021.0</v>
      </c>
      <c r="B68" s="1">
        <v>2020.0</v>
      </c>
      <c r="C68" s="1">
        <v>12.0</v>
      </c>
      <c r="D68" s="1">
        <v>18.0</v>
      </c>
      <c r="E68" s="1" t="s">
        <v>174</v>
      </c>
      <c r="F68" s="1" t="s">
        <v>34</v>
      </c>
      <c r="G68" s="1">
        <v>2.0</v>
      </c>
      <c r="H68" s="1" t="s">
        <v>17</v>
      </c>
      <c r="I68" s="1" t="s">
        <v>35</v>
      </c>
      <c r="J68" s="1">
        <v>38.83428</v>
      </c>
      <c r="K68" s="1">
        <v>-107.09508</v>
      </c>
      <c r="L68" s="2" t="s">
        <v>24</v>
      </c>
      <c r="M68" s="1" t="s">
        <v>25</v>
      </c>
      <c r="N68" s="1">
        <v>1.0</v>
      </c>
      <c r="O68" s="1" t="s">
        <v>167</v>
      </c>
      <c r="P68" s="8">
        <f t="shared" si="1"/>
        <v>44183</v>
      </c>
    </row>
    <row r="69">
      <c r="A69" s="1">
        <v>2021.0</v>
      </c>
      <c r="B69" s="1">
        <v>2020.0</v>
      </c>
      <c r="C69" s="1">
        <v>12.0</v>
      </c>
      <c r="D69" s="1">
        <v>18.0</v>
      </c>
      <c r="E69" s="1" t="s">
        <v>175</v>
      </c>
      <c r="F69" s="1" t="s">
        <v>44</v>
      </c>
      <c r="G69" s="1">
        <v>2.0</v>
      </c>
      <c r="H69" s="1" t="s">
        <v>17</v>
      </c>
      <c r="I69" s="1" t="s">
        <v>74</v>
      </c>
      <c r="J69" s="1">
        <v>42.60289</v>
      </c>
      <c r="K69" s="1">
        <v>-110.75731</v>
      </c>
      <c r="L69" s="2" t="s">
        <v>45</v>
      </c>
      <c r="M69" s="1" t="s">
        <v>46</v>
      </c>
      <c r="N69" s="1">
        <v>1.0</v>
      </c>
      <c r="O69" s="1" t="s">
        <v>144</v>
      </c>
      <c r="P69" s="8">
        <f t="shared" si="1"/>
        <v>44183</v>
      </c>
    </row>
    <row r="70">
      <c r="A70" s="1">
        <v>2020.0</v>
      </c>
      <c r="B70" s="1">
        <v>2020.0</v>
      </c>
      <c r="C70" s="1">
        <v>4.0</v>
      </c>
      <c r="D70" s="1">
        <v>28.0</v>
      </c>
      <c r="E70" s="1" t="s">
        <v>176</v>
      </c>
      <c r="F70" s="1" t="s">
        <v>34</v>
      </c>
      <c r="G70" s="1">
        <v>2.0</v>
      </c>
      <c r="H70" s="1" t="s">
        <v>17</v>
      </c>
      <c r="I70" s="1" t="s">
        <v>35</v>
      </c>
      <c r="J70" s="1">
        <v>38.89532</v>
      </c>
      <c r="K70" s="1">
        <v>-107.03138</v>
      </c>
      <c r="L70" s="2" t="s">
        <v>24</v>
      </c>
      <c r="M70" s="2" t="s">
        <v>25</v>
      </c>
      <c r="N70" s="1">
        <v>1.0</v>
      </c>
      <c r="O70" s="1" t="s">
        <v>177</v>
      </c>
      <c r="P70" s="8">
        <f t="shared" si="1"/>
        <v>43949</v>
      </c>
    </row>
    <row r="71">
      <c r="A71" s="1">
        <v>2020.0</v>
      </c>
      <c r="B71" s="1">
        <v>2020.0</v>
      </c>
      <c r="C71" s="1">
        <v>4.0</v>
      </c>
      <c r="D71" s="1">
        <v>15.0</v>
      </c>
      <c r="E71" s="1" t="s">
        <v>178</v>
      </c>
      <c r="F71" s="1" t="s">
        <v>34</v>
      </c>
      <c r="G71" s="1">
        <v>2.0</v>
      </c>
      <c r="H71" s="1" t="s">
        <v>17</v>
      </c>
      <c r="I71" s="1" t="s">
        <v>35</v>
      </c>
      <c r="J71" s="1">
        <v>39.6458</v>
      </c>
      <c r="K71" s="1">
        <v>-106.15636</v>
      </c>
      <c r="L71" s="2" t="s">
        <v>24</v>
      </c>
      <c r="M71" s="1" t="s">
        <v>25</v>
      </c>
      <c r="N71" s="1">
        <v>1.0</v>
      </c>
      <c r="O71" s="1" t="s">
        <v>179</v>
      </c>
      <c r="P71" s="8">
        <f t="shared" si="1"/>
        <v>43936</v>
      </c>
    </row>
    <row r="72">
      <c r="A72" s="1">
        <v>2020.0</v>
      </c>
      <c r="B72" s="1">
        <v>2020.0</v>
      </c>
      <c r="C72" s="1">
        <v>4.0</v>
      </c>
      <c r="D72" s="1">
        <v>3.0</v>
      </c>
      <c r="E72" s="1" t="s">
        <v>180</v>
      </c>
      <c r="F72" s="1" t="s">
        <v>44</v>
      </c>
      <c r="G72" s="1">
        <v>2.0</v>
      </c>
      <c r="H72" s="1" t="s">
        <v>17</v>
      </c>
      <c r="I72" s="1" t="s">
        <v>49</v>
      </c>
      <c r="J72" s="1">
        <v>43.35006</v>
      </c>
      <c r="K72" s="1">
        <v>-111.21846</v>
      </c>
      <c r="L72" s="2" t="s">
        <v>45</v>
      </c>
      <c r="M72" s="1" t="s">
        <v>46</v>
      </c>
      <c r="N72" s="1">
        <v>1.0</v>
      </c>
      <c r="O72" s="1" t="s">
        <v>47</v>
      </c>
      <c r="P72" s="8">
        <f t="shared" si="1"/>
        <v>43924</v>
      </c>
    </row>
    <row r="73">
      <c r="A73" s="1">
        <v>2020.0</v>
      </c>
      <c r="B73" s="1">
        <v>2020.0</v>
      </c>
      <c r="C73" s="1">
        <v>4.0</v>
      </c>
      <c r="D73" s="1">
        <v>1.0</v>
      </c>
      <c r="E73" s="1" t="s">
        <v>181</v>
      </c>
      <c r="F73" s="1" t="s">
        <v>58</v>
      </c>
      <c r="G73" s="1">
        <v>2.0</v>
      </c>
      <c r="H73" s="1" t="s">
        <v>17</v>
      </c>
      <c r="I73" s="1" t="s">
        <v>74</v>
      </c>
      <c r="J73" s="1">
        <v>43.53018</v>
      </c>
      <c r="K73" s="1">
        <v>-110.98117</v>
      </c>
      <c r="L73" s="2" t="s">
        <v>24</v>
      </c>
      <c r="M73" s="1" t="s">
        <v>60</v>
      </c>
      <c r="N73" s="1">
        <v>1.0</v>
      </c>
      <c r="O73" s="1" t="s">
        <v>36</v>
      </c>
      <c r="P73" s="8">
        <f t="shared" si="1"/>
        <v>43922</v>
      </c>
    </row>
    <row r="74">
      <c r="A74" s="1">
        <v>2020.0</v>
      </c>
      <c r="B74" s="1">
        <v>2020.0</v>
      </c>
      <c r="C74" s="1">
        <v>3.0</v>
      </c>
      <c r="D74" s="1">
        <v>15.0</v>
      </c>
      <c r="E74" s="1" t="s">
        <v>182</v>
      </c>
      <c r="F74" s="1" t="s">
        <v>34</v>
      </c>
      <c r="G74" s="1">
        <v>2.0</v>
      </c>
      <c r="H74" s="1" t="s">
        <v>17</v>
      </c>
      <c r="I74" s="1" t="s">
        <v>49</v>
      </c>
      <c r="J74" s="1">
        <v>42.76727</v>
      </c>
      <c r="K74" s="1">
        <v>-112.13999</v>
      </c>
      <c r="L74" s="2" t="s">
        <v>51</v>
      </c>
      <c r="M74" s="1" t="s">
        <v>25</v>
      </c>
      <c r="N74" s="1">
        <v>1.0</v>
      </c>
      <c r="O74" s="1" t="s">
        <v>183</v>
      </c>
      <c r="P74" s="8">
        <f t="shared" si="1"/>
        <v>43905</v>
      </c>
    </row>
    <row r="75">
      <c r="A75" s="1">
        <v>2020.0</v>
      </c>
      <c r="B75" s="1">
        <v>2020.0</v>
      </c>
      <c r="C75" s="1">
        <v>3.0</v>
      </c>
      <c r="D75" s="1">
        <v>9.0</v>
      </c>
      <c r="E75" s="1" t="s">
        <v>184</v>
      </c>
      <c r="F75" s="1" t="s">
        <v>58</v>
      </c>
      <c r="G75" s="1"/>
      <c r="H75" s="1" t="s">
        <v>17</v>
      </c>
      <c r="I75" s="1" t="s">
        <v>28</v>
      </c>
      <c r="J75" s="1">
        <v>61.76992</v>
      </c>
      <c r="K75" s="1">
        <v>-149.31278</v>
      </c>
      <c r="L75" s="2" t="s">
        <v>24</v>
      </c>
      <c r="M75" s="1" t="s">
        <v>60</v>
      </c>
      <c r="N75" s="1">
        <v>1.0</v>
      </c>
      <c r="O75" s="1" t="s">
        <v>185</v>
      </c>
      <c r="P75" s="8">
        <f t="shared" si="1"/>
        <v>43899</v>
      </c>
    </row>
    <row r="76">
      <c r="A76" s="1">
        <v>2020.0</v>
      </c>
      <c r="B76" s="1">
        <v>2020.0</v>
      </c>
      <c r="C76" s="1">
        <v>2.0</v>
      </c>
      <c r="D76" s="1">
        <v>25.0</v>
      </c>
      <c r="E76" s="1" t="s">
        <v>186</v>
      </c>
      <c r="F76" s="1" t="s">
        <v>38</v>
      </c>
      <c r="G76" s="1"/>
      <c r="H76" s="1" t="s">
        <v>17</v>
      </c>
      <c r="I76" s="1" t="s">
        <v>28</v>
      </c>
      <c r="J76" s="1">
        <v>53.87779</v>
      </c>
      <c r="K76" s="1">
        <v>-166.53277</v>
      </c>
      <c r="L76" s="2" t="s">
        <v>45</v>
      </c>
      <c r="M76" s="1" t="s">
        <v>46</v>
      </c>
      <c r="N76" s="1">
        <v>1.0</v>
      </c>
      <c r="O76" s="1" t="s">
        <v>47</v>
      </c>
      <c r="P76" s="8">
        <f t="shared" si="1"/>
        <v>43886</v>
      </c>
    </row>
    <row r="77">
      <c r="A77" s="1">
        <v>2020.0</v>
      </c>
      <c r="B77" s="1">
        <v>2020.0</v>
      </c>
      <c r="C77" s="1">
        <v>2.0</v>
      </c>
      <c r="D77" s="1">
        <v>15.0</v>
      </c>
      <c r="E77" s="1" t="s">
        <v>187</v>
      </c>
      <c r="F77" s="1" t="s">
        <v>106</v>
      </c>
      <c r="G77" s="1">
        <v>2.0</v>
      </c>
      <c r="H77" s="1" t="s">
        <v>17</v>
      </c>
      <c r="I77" s="1" t="s">
        <v>35</v>
      </c>
      <c r="J77" s="1">
        <v>39.6897</v>
      </c>
      <c r="K77" s="1">
        <v>-106.4702</v>
      </c>
      <c r="L77" s="2" t="s">
        <v>45</v>
      </c>
      <c r="M77" s="1" t="s">
        <v>107</v>
      </c>
      <c r="N77" s="1">
        <v>2.0</v>
      </c>
      <c r="O77" s="1" t="s">
        <v>188</v>
      </c>
      <c r="P77" s="8">
        <f t="shared" si="1"/>
        <v>43876</v>
      </c>
    </row>
    <row r="78">
      <c r="A78" s="1">
        <v>2020.0</v>
      </c>
      <c r="B78" s="1">
        <v>2020.0</v>
      </c>
      <c r="C78" s="1">
        <v>2.0</v>
      </c>
      <c r="D78" s="1">
        <v>10.0</v>
      </c>
      <c r="E78" s="1" t="s">
        <v>189</v>
      </c>
      <c r="F78" s="1" t="s">
        <v>44</v>
      </c>
      <c r="G78" s="1"/>
      <c r="H78" s="1" t="s">
        <v>17</v>
      </c>
      <c r="I78" s="1" t="s">
        <v>28</v>
      </c>
      <c r="J78" s="1">
        <v>60.31759</v>
      </c>
      <c r="K78" s="1">
        <v>-149.60966</v>
      </c>
      <c r="L78" s="2" t="s">
        <v>45</v>
      </c>
      <c r="M78" s="1" t="s">
        <v>46</v>
      </c>
      <c r="N78" s="1">
        <v>1.0</v>
      </c>
      <c r="O78" s="1" t="s">
        <v>47</v>
      </c>
      <c r="P78" s="8">
        <f t="shared" si="1"/>
        <v>43871</v>
      </c>
    </row>
    <row r="79">
      <c r="A79" s="1">
        <v>2020.0</v>
      </c>
      <c r="B79" s="1">
        <v>2020.0</v>
      </c>
      <c r="C79" s="1">
        <v>1.0</v>
      </c>
      <c r="D79" s="1">
        <v>23.0</v>
      </c>
      <c r="E79" s="1" t="s">
        <v>190</v>
      </c>
      <c r="F79" s="1" t="s">
        <v>23</v>
      </c>
      <c r="G79" s="1"/>
      <c r="H79" s="1" t="s">
        <v>39</v>
      </c>
      <c r="I79" s="1" t="s">
        <v>77</v>
      </c>
      <c r="J79" s="1">
        <v>47.33538</v>
      </c>
      <c r="K79" s="1">
        <v>-120.58043</v>
      </c>
      <c r="L79" s="1" t="s">
        <v>41</v>
      </c>
      <c r="M79" s="1" t="s">
        <v>20</v>
      </c>
      <c r="N79" s="1">
        <v>1.0</v>
      </c>
      <c r="O79" s="1" t="s">
        <v>191</v>
      </c>
      <c r="P79" s="8">
        <f t="shared" si="1"/>
        <v>43853</v>
      </c>
    </row>
    <row r="80">
      <c r="A80" s="1">
        <v>2020.0</v>
      </c>
      <c r="B80" s="1">
        <v>2020.0</v>
      </c>
      <c r="C80" s="1">
        <v>1.0</v>
      </c>
      <c r="D80" s="1">
        <v>18.0</v>
      </c>
      <c r="E80" s="1" t="s">
        <v>192</v>
      </c>
      <c r="F80" s="1" t="s">
        <v>23</v>
      </c>
      <c r="G80" s="1">
        <v>1.0</v>
      </c>
      <c r="H80" s="1" t="s">
        <v>17</v>
      </c>
      <c r="I80" s="1" t="s">
        <v>35</v>
      </c>
      <c r="J80" s="1">
        <v>37.983432</v>
      </c>
      <c r="K80" s="1">
        <v>-107.655867</v>
      </c>
      <c r="L80" s="1" t="s">
        <v>29</v>
      </c>
      <c r="M80" s="1" t="s">
        <v>20</v>
      </c>
      <c r="N80" s="1">
        <v>1.0</v>
      </c>
      <c r="O80" s="1" t="s">
        <v>193</v>
      </c>
      <c r="P80" s="8">
        <f t="shared" si="1"/>
        <v>43848</v>
      </c>
    </row>
    <row r="81">
      <c r="A81" s="1">
        <v>2020.0</v>
      </c>
      <c r="B81" s="1">
        <v>2020.0</v>
      </c>
      <c r="C81" s="1">
        <v>1.0</v>
      </c>
      <c r="D81" s="1">
        <v>18.0</v>
      </c>
      <c r="E81" s="1" t="s">
        <v>194</v>
      </c>
      <c r="F81" s="1" t="s">
        <v>44</v>
      </c>
      <c r="G81" s="1">
        <v>2.0</v>
      </c>
      <c r="H81" s="1" t="s">
        <v>17</v>
      </c>
      <c r="I81" s="1" t="s">
        <v>40</v>
      </c>
      <c r="J81" s="1">
        <v>40.97512</v>
      </c>
      <c r="K81" s="1">
        <v>-111.8223</v>
      </c>
      <c r="L81" s="2" t="s">
        <v>45</v>
      </c>
      <c r="M81" s="1" t="s">
        <v>46</v>
      </c>
      <c r="N81" s="1">
        <v>1.0</v>
      </c>
      <c r="O81" s="1" t="s">
        <v>47</v>
      </c>
      <c r="P81" s="8">
        <f t="shared" si="1"/>
        <v>43848</v>
      </c>
    </row>
    <row r="82">
      <c r="A82" s="1">
        <v>2020.0</v>
      </c>
      <c r="B82" s="1">
        <v>2020.0</v>
      </c>
      <c r="C82" s="1">
        <v>1.0</v>
      </c>
      <c r="D82" s="1">
        <v>17.0</v>
      </c>
      <c r="E82" s="1" t="s">
        <v>195</v>
      </c>
      <c r="F82" s="1" t="s">
        <v>38</v>
      </c>
      <c r="G82" s="1"/>
      <c r="H82" s="1" t="s">
        <v>196</v>
      </c>
      <c r="I82" s="1" t="s">
        <v>18</v>
      </c>
      <c r="J82" s="1">
        <v>39.15756</v>
      </c>
      <c r="K82" s="1">
        <v>-120.22238</v>
      </c>
      <c r="L82" s="2" t="s">
        <v>197</v>
      </c>
      <c r="M82" s="1" t="s">
        <v>25</v>
      </c>
      <c r="N82" s="1">
        <v>1.0</v>
      </c>
      <c r="O82" s="1" t="s">
        <v>198</v>
      </c>
      <c r="P82" s="8">
        <f t="shared" si="1"/>
        <v>43847</v>
      </c>
    </row>
    <row r="83">
      <c r="A83" s="1">
        <v>2020.0</v>
      </c>
      <c r="B83" s="1">
        <v>2020.0</v>
      </c>
      <c r="C83" s="1">
        <v>1.0</v>
      </c>
      <c r="D83" s="1">
        <v>15.0</v>
      </c>
      <c r="E83" s="1" t="s">
        <v>199</v>
      </c>
      <c r="F83" s="1" t="s">
        <v>44</v>
      </c>
      <c r="G83" s="1">
        <v>2.0</v>
      </c>
      <c r="H83" s="1" t="s">
        <v>17</v>
      </c>
      <c r="I83" s="1" t="s">
        <v>49</v>
      </c>
      <c r="J83" s="1">
        <v>43.69076</v>
      </c>
      <c r="K83" s="1">
        <v>-114.67559</v>
      </c>
      <c r="L83" s="2" t="s">
        <v>45</v>
      </c>
      <c r="M83" s="1" t="s">
        <v>46</v>
      </c>
      <c r="N83" s="1">
        <v>1.0</v>
      </c>
      <c r="O83" s="1" t="s">
        <v>200</v>
      </c>
      <c r="P83" s="8">
        <f t="shared" si="1"/>
        <v>43845</v>
      </c>
    </row>
    <row r="84">
      <c r="A84" s="1">
        <v>2020.0</v>
      </c>
      <c r="B84" s="1">
        <v>2020.0</v>
      </c>
      <c r="C84" s="1">
        <v>1.0</v>
      </c>
      <c r="D84" s="1">
        <v>11.0</v>
      </c>
      <c r="E84" s="1" t="s">
        <v>201</v>
      </c>
      <c r="F84" s="1" t="s">
        <v>44</v>
      </c>
      <c r="G84" s="1">
        <v>2.0</v>
      </c>
      <c r="H84" s="1" t="s">
        <v>17</v>
      </c>
      <c r="I84" s="1" t="s">
        <v>59</v>
      </c>
      <c r="J84" s="1">
        <v>44.86901</v>
      </c>
      <c r="K84" s="1">
        <v>-118.19007</v>
      </c>
      <c r="L84" s="2" t="s">
        <v>45</v>
      </c>
      <c r="M84" s="1" t="s">
        <v>46</v>
      </c>
      <c r="N84" s="1">
        <v>1.0</v>
      </c>
      <c r="O84" s="1" t="s">
        <v>47</v>
      </c>
      <c r="P84" s="8">
        <f t="shared" si="1"/>
        <v>43841</v>
      </c>
    </row>
    <row r="85">
      <c r="A85" s="1">
        <v>2020.0</v>
      </c>
      <c r="B85" s="1">
        <v>2020.0</v>
      </c>
      <c r="C85" s="1">
        <v>1.0</v>
      </c>
      <c r="D85" s="1">
        <v>7.0</v>
      </c>
      <c r="E85" s="1" t="s">
        <v>202</v>
      </c>
      <c r="F85" s="1" t="s">
        <v>34</v>
      </c>
      <c r="G85" s="1">
        <v>3.0</v>
      </c>
      <c r="H85" s="1" t="s">
        <v>196</v>
      </c>
      <c r="I85" s="1" t="s">
        <v>49</v>
      </c>
      <c r="J85" s="1">
        <v>47.48811</v>
      </c>
      <c r="K85" s="1">
        <v>-116.1278</v>
      </c>
      <c r="L85" s="2" t="s">
        <v>197</v>
      </c>
      <c r="M85" s="1" t="s">
        <v>25</v>
      </c>
      <c r="N85" s="1">
        <v>3.0</v>
      </c>
      <c r="O85" s="1" t="s">
        <v>203</v>
      </c>
      <c r="P85" s="8">
        <f t="shared" si="1"/>
        <v>43837</v>
      </c>
    </row>
    <row r="86">
      <c r="A86" s="1">
        <v>2020.0</v>
      </c>
      <c r="B86" s="1">
        <v>2020.0</v>
      </c>
      <c r="C86" s="1">
        <v>1.0</v>
      </c>
      <c r="D86" s="1">
        <v>1.0</v>
      </c>
      <c r="E86" s="1" t="s">
        <v>204</v>
      </c>
      <c r="F86" s="1" t="s">
        <v>44</v>
      </c>
      <c r="G86" s="1">
        <v>2.5</v>
      </c>
      <c r="H86" s="1" t="s">
        <v>17</v>
      </c>
      <c r="I86" s="1" t="s">
        <v>85</v>
      </c>
      <c r="J86" s="1">
        <v>47.25592</v>
      </c>
      <c r="K86" s="1">
        <v>-113.71536</v>
      </c>
      <c r="L86" s="1" t="s">
        <v>45</v>
      </c>
      <c r="M86" s="1" t="s">
        <v>46</v>
      </c>
      <c r="N86" s="1">
        <v>2.0</v>
      </c>
      <c r="O86" s="1" t="s">
        <v>205</v>
      </c>
      <c r="P86" s="8">
        <f t="shared" si="1"/>
        <v>43831</v>
      </c>
    </row>
    <row r="87">
      <c r="A87" s="1">
        <v>2020.0</v>
      </c>
      <c r="B87" s="1">
        <v>2019.0</v>
      </c>
      <c r="C87" s="1">
        <v>12.0</v>
      </c>
      <c r="D87" s="1">
        <v>15.0</v>
      </c>
      <c r="E87" s="1" t="s">
        <v>170</v>
      </c>
      <c r="F87" s="1" t="s">
        <v>58</v>
      </c>
      <c r="G87" s="1">
        <v>2.0</v>
      </c>
      <c r="H87" s="1" t="s">
        <v>17</v>
      </c>
      <c r="I87" s="1" t="s">
        <v>40</v>
      </c>
      <c r="J87" s="1">
        <v>40.65347</v>
      </c>
      <c r="K87" s="1">
        <v>-111.59126</v>
      </c>
      <c r="L87" s="2" t="s">
        <v>51</v>
      </c>
      <c r="M87" s="1" t="s">
        <v>60</v>
      </c>
      <c r="N87" s="1">
        <v>1.0</v>
      </c>
      <c r="O87" s="1" t="s">
        <v>171</v>
      </c>
      <c r="P87" s="8">
        <f t="shared" si="1"/>
        <v>43814</v>
      </c>
    </row>
    <row r="88">
      <c r="A88" s="1">
        <v>2020.0</v>
      </c>
      <c r="B88" s="1">
        <v>2019.0</v>
      </c>
      <c r="C88" s="1">
        <v>12.0</v>
      </c>
      <c r="D88" s="1">
        <v>8.0</v>
      </c>
      <c r="E88" s="1" t="s">
        <v>206</v>
      </c>
      <c r="F88" s="1" t="s">
        <v>34</v>
      </c>
      <c r="G88" s="1">
        <v>2.0</v>
      </c>
      <c r="H88" s="1" t="s">
        <v>17</v>
      </c>
      <c r="I88" s="1" t="s">
        <v>35</v>
      </c>
      <c r="J88" s="1">
        <v>40.51611</v>
      </c>
      <c r="K88" s="1">
        <v>-105.90773</v>
      </c>
      <c r="L88" s="2" t="s">
        <v>24</v>
      </c>
      <c r="M88" s="1" t="s">
        <v>25</v>
      </c>
      <c r="N88" s="1">
        <v>1.0</v>
      </c>
      <c r="O88" s="1" t="s">
        <v>207</v>
      </c>
      <c r="P88" s="8">
        <f t="shared" si="1"/>
        <v>43807</v>
      </c>
    </row>
    <row r="89" ht="15.75" customHeight="1">
      <c r="A89" s="2">
        <v>2019.0</v>
      </c>
      <c r="B89" s="2">
        <v>2019.0</v>
      </c>
      <c r="C89" s="2">
        <v>4.0</v>
      </c>
      <c r="D89" s="2">
        <v>11.0</v>
      </c>
      <c r="E89" s="2" t="s">
        <v>208</v>
      </c>
      <c r="F89" s="1" t="s">
        <v>34</v>
      </c>
      <c r="G89" s="1">
        <v>2.0</v>
      </c>
      <c r="H89" s="2" t="s">
        <v>17</v>
      </c>
      <c r="I89" s="2" t="s">
        <v>166</v>
      </c>
      <c r="J89" s="1">
        <v>44.27047</v>
      </c>
      <c r="K89" s="1">
        <v>-71.30302</v>
      </c>
      <c r="L89" s="2" t="s">
        <v>24</v>
      </c>
      <c r="M89" s="2" t="s">
        <v>25</v>
      </c>
      <c r="N89" s="2">
        <v>1.0</v>
      </c>
      <c r="O89" s="2" t="s">
        <v>36</v>
      </c>
      <c r="P89" s="8">
        <f t="shared" si="1"/>
        <v>43566</v>
      </c>
    </row>
    <row r="90" ht="15.75" customHeight="1">
      <c r="A90" s="2">
        <v>2019.0</v>
      </c>
      <c r="B90" s="2">
        <v>2019.0</v>
      </c>
      <c r="C90" s="2">
        <v>3.0</v>
      </c>
      <c r="D90" s="2">
        <v>13.0</v>
      </c>
      <c r="E90" s="2" t="s">
        <v>209</v>
      </c>
      <c r="F90" s="1" t="s">
        <v>34</v>
      </c>
      <c r="G90" s="1">
        <v>3.0</v>
      </c>
      <c r="H90" s="9" t="s">
        <v>17</v>
      </c>
      <c r="I90" s="2" t="s">
        <v>28</v>
      </c>
      <c r="J90" s="1">
        <v>59.26892</v>
      </c>
      <c r="K90" s="1">
        <v>-135.5229</v>
      </c>
      <c r="L90" s="2" t="s">
        <v>24</v>
      </c>
      <c r="M90" s="1" t="s">
        <v>60</v>
      </c>
      <c r="N90" s="2">
        <v>1.0</v>
      </c>
      <c r="O90" s="2" t="s">
        <v>36</v>
      </c>
      <c r="P90" s="8">
        <f t="shared" si="1"/>
        <v>43537</v>
      </c>
    </row>
    <row r="91" ht="15.75" customHeight="1">
      <c r="A91" s="2">
        <v>2019.0</v>
      </c>
      <c r="B91" s="2">
        <v>2019.0</v>
      </c>
      <c r="C91" s="2">
        <v>3.0</v>
      </c>
      <c r="D91" s="2">
        <v>11.0</v>
      </c>
      <c r="E91" s="2" t="s">
        <v>210</v>
      </c>
      <c r="F91" s="1" t="s">
        <v>23</v>
      </c>
      <c r="H91" s="2" t="s">
        <v>39</v>
      </c>
      <c r="I91" s="2" t="s">
        <v>74</v>
      </c>
      <c r="J91" s="1">
        <v>42.84156</v>
      </c>
      <c r="K91" s="1">
        <v>-106.32372</v>
      </c>
      <c r="L91" s="2" t="s">
        <v>41</v>
      </c>
      <c r="M91" s="2" t="s">
        <v>20</v>
      </c>
      <c r="N91" s="2">
        <v>1.0</v>
      </c>
      <c r="O91" s="2" t="s">
        <v>211</v>
      </c>
      <c r="P91" s="8">
        <f t="shared" si="1"/>
        <v>43535</v>
      </c>
    </row>
    <row r="92" ht="15.75" customHeight="1">
      <c r="A92" s="2">
        <v>2019.0</v>
      </c>
      <c r="B92" s="2">
        <v>2019.0</v>
      </c>
      <c r="C92" s="2">
        <v>3.0</v>
      </c>
      <c r="D92" s="2">
        <v>9.0</v>
      </c>
      <c r="E92" s="2" t="s">
        <v>212</v>
      </c>
      <c r="F92" s="1" t="s">
        <v>34</v>
      </c>
      <c r="G92" s="1">
        <v>2.5</v>
      </c>
      <c r="H92" s="2" t="s">
        <v>17</v>
      </c>
      <c r="I92" s="2" t="s">
        <v>28</v>
      </c>
      <c r="J92" s="1">
        <v>60.44865</v>
      </c>
      <c r="K92" s="1">
        <v>-149.49703</v>
      </c>
      <c r="L92" s="2" t="s">
        <v>24</v>
      </c>
      <c r="M92" s="1" t="s">
        <v>25</v>
      </c>
      <c r="N92" s="2">
        <v>1.0</v>
      </c>
      <c r="O92" s="2" t="s">
        <v>213</v>
      </c>
      <c r="P92" s="8">
        <f t="shared" si="1"/>
        <v>43533</v>
      </c>
    </row>
    <row r="93" ht="15.75" customHeight="1">
      <c r="A93" s="2">
        <v>2019.0</v>
      </c>
      <c r="B93" s="2">
        <v>2019.0</v>
      </c>
      <c r="C93" s="2">
        <v>3.0</v>
      </c>
      <c r="D93" s="2">
        <v>9.0</v>
      </c>
      <c r="E93" s="2" t="s">
        <v>214</v>
      </c>
      <c r="F93" s="1" t="s">
        <v>76</v>
      </c>
      <c r="H93" s="2" t="s">
        <v>39</v>
      </c>
      <c r="I93" s="2" t="s">
        <v>35</v>
      </c>
      <c r="J93" s="1">
        <v>38.80363</v>
      </c>
      <c r="K93" s="1">
        <v>-106.8897</v>
      </c>
      <c r="L93" s="2" t="s">
        <v>41</v>
      </c>
      <c r="M93" s="2" t="s">
        <v>20</v>
      </c>
      <c r="N93" s="2">
        <v>1.0</v>
      </c>
      <c r="O93" s="2" t="s">
        <v>215</v>
      </c>
      <c r="P93" s="8">
        <f t="shared" si="1"/>
        <v>43533</v>
      </c>
    </row>
    <row r="94" ht="15.75" customHeight="1">
      <c r="A94" s="2">
        <v>2019.0</v>
      </c>
      <c r="B94" s="2">
        <v>2019.0</v>
      </c>
      <c r="C94" s="2">
        <v>3.0</v>
      </c>
      <c r="D94" s="2">
        <v>7.0</v>
      </c>
      <c r="E94" s="2" t="s">
        <v>216</v>
      </c>
      <c r="F94" s="1" t="s">
        <v>23</v>
      </c>
      <c r="G94" s="1">
        <v>3.5</v>
      </c>
      <c r="H94" s="2" t="s">
        <v>17</v>
      </c>
      <c r="I94" s="2" t="s">
        <v>35</v>
      </c>
      <c r="J94" s="1">
        <v>39.78113</v>
      </c>
      <c r="K94" s="1">
        <v>-105.86643</v>
      </c>
      <c r="L94" s="2" t="s">
        <v>217</v>
      </c>
      <c r="M94" s="2" t="s">
        <v>25</v>
      </c>
      <c r="N94" s="2">
        <v>1.0</v>
      </c>
      <c r="O94" s="2" t="s">
        <v>218</v>
      </c>
      <c r="P94" s="8">
        <f t="shared" si="1"/>
        <v>43531</v>
      </c>
    </row>
    <row r="95" ht="15.75" customHeight="1">
      <c r="A95" s="2">
        <v>2019.0</v>
      </c>
      <c r="B95" s="2">
        <v>2019.0</v>
      </c>
      <c r="C95" s="2">
        <v>3.0</v>
      </c>
      <c r="D95" s="2">
        <v>4.0</v>
      </c>
      <c r="E95" s="2" t="s">
        <v>219</v>
      </c>
      <c r="F95" s="1" t="s">
        <v>44</v>
      </c>
      <c r="G95" s="1">
        <v>2.5</v>
      </c>
      <c r="H95" s="2" t="s">
        <v>17</v>
      </c>
      <c r="I95" s="2" t="s">
        <v>74</v>
      </c>
      <c r="J95" s="1">
        <v>43.80692</v>
      </c>
      <c r="K95" s="1">
        <v>-110.09852</v>
      </c>
      <c r="L95" s="2" t="s">
        <v>45</v>
      </c>
      <c r="M95" s="2" t="s">
        <v>46</v>
      </c>
      <c r="N95" s="2">
        <v>1.0</v>
      </c>
      <c r="O95" s="2" t="s">
        <v>47</v>
      </c>
      <c r="P95" s="8">
        <f t="shared" si="1"/>
        <v>43528</v>
      </c>
    </row>
    <row r="96" ht="15.75" customHeight="1">
      <c r="A96" s="2">
        <v>2019.0</v>
      </c>
      <c r="B96" s="2">
        <v>2019.0</v>
      </c>
      <c r="C96" s="2">
        <v>3.0</v>
      </c>
      <c r="D96" s="2">
        <v>3.0</v>
      </c>
      <c r="E96" s="2" t="s">
        <v>220</v>
      </c>
      <c r="F96" s="1" t="s">
        <v>34</v>
      </c>
      <c r="G96" s="1">
        <v>2.0</v>
      </c>
      <c r="H96" s="2" t="s">
        <v>17</v>
      </c>
      <c r="I96" s="2" t="s">
        <v>35</v>
      </c>
      <c r="J96" s="1">
        <v>37.82918</v>
      </c>
      <c r="K96" s="1">
        <v>-107.8806</v>
      </c>
      <c r="L96" s="2" t="s">
        <v>24</v>
      </c>
      <c r="M96" s="2" t="s">
        <v>25</v>
      </c>
      <c r="N96" s="2">
        <v>1.0</v>
      </c>
      <c r="O96" s="2" t="s">
        <v>36</v>
      </c>
      <c r="P96" s="8">
        <f t="shared" si="1"/>
        <v>43527</v>
      </c>
    </row>
    <row r="97" ht="15.75" customHeight="1">
      <c r="A97" s="2">
        <v>2019.0</v>
      </c>
      <c r="B97" s="2">
        <v>2019.0</v>
      </c>
      <c r="C97" s="2">
        <v>2.0</v>
      </c>
      <c r="D97" s="2">
        <v>26.0</v>
      </c>
      <c r="E97" s="2" t="s">
        <v>221</v>
      </c>
      <c r="F97" s="1" t="s">
        <v>34</v>
      </c>
      <c r="G97" s="1">
        <v>3.0</v>
      </c>
      <c r="H97" s="2" t="s">
        <v>17</v>
      </c>
      <c r="I97" s="2" t="s">
        <v>85</v>
      </c>
      <c r="J97" s="1">
        <v>45.8068</v>
      </c>
      <c r="K97" s="1">
        <v>-110.935</v>
      </c>
      <c r="L97" s="2" t="s">
        <v>24</v>
      </c>
      <c r="M97" s="2" t="s">
        <v>25</v>
      </c>
      <c r="N97" s="2">
        <v>1.0</v>
      </c>
      <c r="O97" s="2" t="s">
        <v>222</v>
      </c>
      <c r="P97" s="8">
        <f t="shared" si="1"/>
        <v>43522</v>
      </c>
    </row>
    <row r="98" ht="15.75" customHeight="1">
      <c r="A98" s="2">
        <v>2019.0</v>
      </c>
      <c r="B98" s="2">
        <v>2019.0</v>
      </c>
      <c r="C98" s="2">
        <v>2.0</v>
      </c>
      <c r="D98" s="2">
        <v>19.0</v>
      </c>
      <c r="E98" s="2" t="s">
        <v>223</v>
      </c>
      <c r="F98" s="1" t="s">
        <v>58</v>
      </c>
      <c r="G98" s="1">
        <v>2.0</v>
      </c>
      <c r="H98" s="2" t="s">
        <v>17</v>
      </c>
      <c r="I98" s="2" t="s">
        <v>35</v>
      </c>
      <c r="J98" s="1">
        <v>37.90765</v>
      </c>
      <c r="K98" s="1">
        <v>-107.81133</v>
      </c>
      <c r="L98" s="2" t="s">
        <v>24</v>
      </c>
      <c r="M98" s="2" t="s">
        <v>25</v>
      </c>
      <c r="N98" s="2">
        <v>1.0</v>
      </c>
      <c r="O98" s="2" t="s">
        <v>224</v>
      </c>
      <c r="P98" s="8">
        <f t="shared" si="1"/>
        <v>43515</v>
      </c>
    </row>
    <row r="99" ht="15.75" customHeight="1">
      <c r="A99" s="2">
        <v>2019.0</v>
      </c>
      <c r="B99" s="2">
        <v>2019.0</v>
      </c>
      <c r="C99" s="2">
        <v>2.0</v>
      </c>
      <c r="D99" s="2">
        <v>16.0</v>
      </c>
      <c r="E99" s="2" t="s">
        <v>225</v>
      </c>
      <c r="F99" s="1" t="s">
        <v>34</v>
      </c>
      <c r="G99" s="1">
        <v>2.0</v>
      </c>
      <c r="H99" s="2" t="s">
        <v>17</v>
      </c>
      <c r="I99" s="2" t="s">
        <v>35</v>
      </c>
      <c r="J99" s="1">
        <v>38.900249</v>
      </c>
      <c r="K99" s="1">
        <v>-106.871974</v>
      </c>
      <c r="L99" s="2" t="s">
        <v>24</v>
      </c>
      <c r="M99" s="2" t="s">
        <v>25</v>
      </c>
      <c r="N99" s="2">
        <v>2.0</v>
      </c>
      <c r="O99" s="2" t="s">
        <v>226</v>
      </c>
      <c r="P99" s="8">
        <f t="shared" si="1"/>
        <v>43512</v>
      </c>
    </row>
    <row r="100" ht="15.75" customHeight="1">
      <c r="A100" s="2">
        <v>2019.0</v>
      </c>
      <c r="B100" s="2">
        <v>2019.0</v>
      </c>
      <c r="C100" s="2">
        <v>2.0</v>
      </c>
      <c r="D100" s="2">
        <v>9.0</v>
      </c>
      <c r="E100" s="2" t="s">
        <v>227</v>
      </c>
      <c r="F100" s="1" t="s">
        <v>44</v>
      </c>
      <c r="G100" s="1">
        <v>3.0</v>
      </c>
      <c r="H100" s="2" t="s">
        <v>17</v>
      </c>
      <c r="I100" s="2" t="s">
        <v>40</v>
      </c>
      <c r="J100" s="1">
        <v>40.86998</v>
      </c>
      <c r="K100" s="1">
        <v>-111.00054</v>
      </c>
      <c r="L100" s="2" t="s">
        <v>45</v>
      </c>
      <c r="M100" s="2" t="s">
        <v>46</v>
      </c>
      <c r="N100" s="2">
        <v>1.0</v>
      </c>
      <c r="O100" s="2" t="s">
        <v>47</v>
      </c>
      <c r="P100" s="8">
        <f t="shared" si="1"/>
        <v>43505</v>
      </c>
    </row>
    <row r="101" ht="15.75" customHeight="1">
      <c r="A101" s="2">
        <v>2019.0</v>
      </c>
      <c r="B101" s="2">
        <v>2019.0</v>
      </c>
      <c r="C101" s="2">
        <v>2.0</v>
      </c>
      <c r="D101" s="2">
        <v>7.0</v>
      </c>
      <c r="E101" s="2" t="s">
        <v>228</v>
      </c>
      <c r="F101" s="1" t="s">
        <v>38</v>
      </c>
      <c r="G101" s="1">
        <v>2.0</v>
      </c>
      <c r="H101" s="2" t="s">
        <v>17</v>
      </c>
      <c r="I101" s="2" t="s">
        <v>40</v>
      </c>
      <c r="J101" s="1">
        <v>38.20105</v>
      </c>
      <c r="K101" s="1">
        <v>-112.40459</v>
      </c>
      <c r="L101" s="2" t="s">
        <v>45</v>
      </c>
      <c r="M101" s="2" t="s">
        <v>46</v>
      </c>
      <c r="N101" s="2">
        <v>1.0</v>
      </c>
      <c r="O101" s="2" t="s">
        <v>229</v>
      </c>
      <c r="P101" s="8">
        <f t="shared" si="1"/>
        <v>43503</v>
      </c>
    </row>
    <row r="102" ht="15.75" customHeight="1">
      <c r="A102" s="2">
        <v>2019.0</v>
      </c>
      <c r="B102" s="2">
        <v>2019.0</v>
      </c>
      <c r="C102" s="2">
        <v>1.0</v>
      </c>
      <c r="D102" s="2">
        <v>25.0</v>
      </c>
      <c r="E102" s="2" t="s">
        <v>230</v>
      </c>
      <c r="F102" s="1" t="s">
        <v>34</v>
      </c>
      <c r="G102" s="1">
        <v>3.0</v>
      </c>
      <c r="H102" s="2" t="s">
        <v>17</v>
      </c>
      <c r="I102" s="2" t="s">
        <v>85</v>
      </c>
      <c r="J102" s="1">
        <v>45.53253</v>
      </c>
      <c r="K102" s="1">
        <v>-111.99267</v>
      </c>
      <c r="L102" s="2" t="s">
        <v>24</v>
      </c>
      <c r="M102" s="1" t="s">
        <v>25</v>
      </c>
      <c r="N102" s="2">
        <v>1.0</v>
      </c>
      <c r="O102" s="2" t="s">
        <v>231</v>
      </c>
      <c r="P102" s="8">
        <f t="shared" si="1"/>
        <v>43490</v>
      </c>
    </row>
    <row r="103" ht="15.75" customHeight="1">
      <c r="A103" s="2">
        <v>2019.0</v>
      </c>
      <c r="B103" s="2">
        <v>2019.0</v>
      </c>
      <c r="C103" s="2">
        <v>1.0</v>
      </c>
      <c r="D103" s="2">
        <v>25.0</v>
      </c>
      <c r="E103" s="2" t="s">
        <v>232</v>
      </c>
      <c r="F103" s="1" t="s">
        <v>38</v>
      </c>
      <c r="G103" s="1">
        <v>2.0</v>
      </c>
      <c r="H103" s="2" t="s">
        <v>17</v>
      </c>
      <c r="I103" s="2" t="s">
        <v>49</v>
      </c>
      <c r="J103" s="1">
        <v>43.43538</v>
      </c>
      <c r="K103" s="1">
        <v>-111.12406</v>
      </c>
      <c r="L103" s="2" t="s">
        <v>45</v>
      </c>
      <c r="M103" s="2" t="s">
        <v>46</v>
      </c>
      <c r="N103" s="2">
        <v>1.0</v>
      </c>
      <c r="O103" s="2" t="s">
        <v>233</v>
      </c>
      <c r="P103" s="8">
        <f t="shared" si="1"/>
        <v>43490</v>
      </c>
    </row>
    <row r="104" ht="15.75" customHeight="1">
      <c r="A104" s="2">
        <v>2019.0</v>
      </c>
      <c r="B104" s="2">
        <v>2019.0</v>
      </c>
      <c r="C104" s="2">
        <v>1.0</v>
      </c>
      <c r="D104" s="2">
        <v>25.0</v>
      </c>
      <c r="E104" s="2" t="s">
        <v>234</v>
      </c>
      <c r="F104" s="1" t="s">
        <v>44</v>
      </c>
      <c r="H104" s="2" t="s">
        <v>17</v>
      </c>
      <c r="I104" s="2" t="s">
        <v>40</v>
      </c>
      <c r="J104" s="1">
        <v>38.45639</v>
      </c>
      <c r="K104" s="1">
        <v>-109.23622</v>
      </c>
      <c r="L104" s="2" t="s">
        <v>45</v>
      </c>
      <c r="M104" s="2" t="s">
        <v>46</v>
      </c>
      <c r="N104" s="2">
        <v>1.0</v>
      </c>
      <c r="O104" s="2" t="s">
        <v>47</v>
      </c>
      <c r="P104" s="8">
        <f t="shared" si="1"/>
        <v>43490</v>
      </c>
    </row>
    <row r="105" ht="15.75" customHeight="1">
      <c r="A105" s="2">
        <v>2019.0</v>
      </c>
      <c r="B105" s="2">
        <v>2019.0</v>
      </c>
      <c r="C105" s="2">
        <v>1.0</v>
      </c>
      <c r="D105" s="2">
        <v>21.0</v>
      </c>
      <c r="E105" s="2" t="s">
        <v>235</v>
      </c>
      <c r="F105" s="1" t="s">
        <v>34</v>
      </c>
      <c r="G105" s="1">
        <v>2.5</v>
      </c>
      <c r="H105" s="2" t="s">
        <v>17</v>
      </c>
      <c r="I105" s="2" t="s">
        <v>35</v>
      </c>
      <c r="J105" s="1">
        <v>39.0255</v>
      </c>
      <c r="K105" s="1">
        <v>-106.78511</v>
      </c>
      <c r="L105" s="2" t="s">
        <v>24</v>
      </c>
      <c r="M105" s="2" t="s">
        <v>25</v>
      </c>
      <c r="N105" s="2">
        <v>1.0</v>
      </c>
      <c r="O105" s="2" t="s">
        <v>36</v>
      </c>
      <c r="P105" s="8">
        <f t="shared" si="1"/>
        <v>43486</v>
      </c>
    </row>
    <row r="106" ht="15.75" customHeight="1">
      <c r="A106" s="2">
        <v>2019.0</v>
      </c>
      <c r="B106" s="2">
        <v>2019.0</v>
      </c>
      <c r="C106" s="2">
        <v>1.0</v>
      </c>
      <c r="D106" s="2">
        <v>18.0</v>
      </c>
      <c r="E106" s="2" t="s">
        <v>236</v>
      </c>
      <c r="F106" s="1" t="s">
        <v>34</v>
      </c>
      <c r="H106" s="2" t="s">
        <v>17</v>
      </c>
      <c r="I106" s="2" t="s">
        <v>40</v>
      </c>
      <c r="J106" s="1">
        <v>39.63323</v>
      </c>
      <c r="K106" s="1">
        <v>-111.25</v>
      </c>
      <c r="L106" s="2" t="s">
        <v>24</v>
      </c>
      <c r="M106" s="1" t="s">
        <v>25</v>
      </c>
      <c r="N106" s="2">
        <v>1.0</v>
      </c>
      <c r="O106" s="2" t="s">
        <v>36</v>
      </c>
      <c r="P106" s="8">
        <f t="shared" si="1"/>
        <v>43483</v>
      </c>
    </row>
    <row r="107" ht="15.75" customHeight="1">
      <c r="A107" s="2">
        <v>2019.0</v>
      </c>
      <c r="B107" s="2">
        <v>2019.0</v>
      </c>
      <c r="C107" s="2">
        <v>1.0</v>
      </c>
      <c r="D107" s="2">
        <v>17.0</v>
      </c>
      <c r="E107" s="2" t="s">
        <v>237</v>
      </c>
      <c r="F107" s="1" t="s">
        <v>38</v>
      </c>
      <c r="H107" s="2" t="s">
        <v>196</v>
      </c>
      <c r="I107" s="2" t="s">
        <v>238</v>
      </c>
      <c r="J107" s="1">
        <v>36.59686</v>
      </c>
      <c r="K107" s="1">
        <v>-105.44398</v>
      </c>
      <c r="L107" s="2" t="s">
        <v>197</v>
      </c>
      <c r="M107" s="2" t="s">
        <v>25</v>
      </c>
      <c r="N107" s="2">
        <v>2.0</v>
      </c>
      <c r="O107" s="2" t="s">
        <v>239</v>
      </c>
      <c r="P107" s="8">
        <f t="shared" si="1"/>
        <v>43482</v>
      </c>
    </row>
    <row r="108" ht="15.75" customHeight="1">
      <c r="A108" s="2">
        <v>2019.0</v>
      </c>
      <c r="B108" s="2">
        <v>2019.0</v>
      </c>
      <c r="C108" s="2">
        <v>1.0</v>
      </c>
      <c r="D108" s="2">
        <v>9.0</v>
      </c>
      <c r="E108" s="2" t="s">
        <v>240</v>
      </c>
      <c r="F108" s="1" t="s">
        <v>44</v>
      </c>
      <c r="G108" s="1">
        <v>2.0</v>
      </c>
      <c r="H108" s="2" t="s">
        <v>17</v>
      </c>
      <c r="I108" s="2" t="s">
        <v>74</v>
      </c>
      <c r="J108" s="1">
        <v>43.72431</v>
      </c>
      <c r="K108" s="1">
        <v>-110.40504</v>
      </c>
      <c r="L108" s="2" t="s">
        <v>45</v>
      </c>
      <c r="M108" s="2" t="s">
        <v>46</v>
      </c>
      <c r="N108" s="2">
        <v>1.0</v>
      </c>
      <c r="O108" s="2" t="s">
        <v>47</v>
      </c>
      <c r="P108" s="8">
        <f t="shared" si="1"/>
        <v>43474</v>
      </c>
    </row>
    <row r="109" ht="15.75" customHeight="1">
      <c r="A109" s="2">
        <v>2019.0</v>
      </c>
      <c r="B109" s="2">
        <v>2019.0</v>
      </c>
      <c r="C109" s="2">
        <v>1.0</v>
      </c>
      <c r="D109" s="2">
        <v>5.0</v>
      </c>
      <c r="E109" s="2" t="s">
        <v>241</v>
      </c>
      <c r="F109" s="1" t="s">
        <v>34</v>
      </c>
      <c r="G109" s="1">
        <v>2.0</v>
      </c>
      <c r="H109" s="2" t="s">
        <v>17</v>
      </c>
      <c r="I109" s="2" t="s">
        <v>35</v>
      </c>
      <c r="J109" s="1">
        <v>37.91467</v>
      </c>
      <c r="K109" s="1">
        <v>-107.73362</v>
      </c>
      <c r="L109" s="2" t="s">
        <v>24</v>
      </c>
      <c r="M109" s="2" t="s">
        <v>25</v>
      </c>
      <c r="N109" s="2">
        <v>1.0</v>
      </c>
      <c r="O109" s="2" t="s">
        <v>242</v>
      </c>
      <c r="P109" s="8">
        <f t="shared" si="1"/>
        <v>43470</v>
      </c>
    </row>
    <row r="110" ht="15.75" customHeight="1">
      <c r="A110" s="2">
        <v>2019.0</v>
      </c>
      <c r="B110" s="2">
        <v>2019.0</v>
      </c>
      <c r="C110" s="2">
        <v>1.0</v>
      </c>
      <c r="D110" s="2">
        <v>5.0</v>
      </c>
      <c r="E110" s="2" t="s">
        <v>243</v>
      </c>
      <c r="F110" s="1" t="s">
        <v>44</v>
      </c>
      <c r="G110" s="1">
        <v>3.0</v>
      </c>
      <c r="H110" s="2" t="s">
        <v>17</v>
      </c>
      <c r="I110" s="2" t="s">
        <v>85</v>
      </c>
      <c r="J110" s="1">
        <v>47.9255</v>
      </c>
      <c r="K110" s="1">
        <v>-112.79538</v>
      </c>
      <c r="L110" s="2" t="s">
        <v>45</v>
      </c>
      <c r="M110" s="2" t="s">
        <v>46</v>
      </c>
      <c r="N110" s="2">
        <v>1.0</v>
      </c>
      <c r="O110" s="2" t="s">
        <v>244</v>
      </c>
      <c r="P110" s="8">
        <f t="shared" si="1"/>
        <v>43470</v>
      </c>
    </row>
    <row r="111" ht="15.75" customHeight="1">
      <c r="A111" s="2">
        <v>2019.0</v>
      </c>
      <c r="B111" s="2">
        <v>2018.0</v>
      </c>
      <c r="C111" s="2">
        <v>12.0</v>
      </c>
      <c r="D111" s="2">
        <v>22.0</v>
      </c>
      <c r="E111" s="2" t="s">
        <v>245</v>
      </c>
      <c r="F111" s="1" t="s">
        <v>44</v>
      </c>
      <c r="G111" s="1">
        <v>1.5</v>
      </c>
      <c r="H111" s="2" t="s">
        <v>17</v>
      </c>
      <c r="I111" s="2" t="s">
        <v>74</v>
      </c>
      <c r="J111" s="1">
        <v>42.928524</v>
      </c>
      <c r="K111" s="1">
        <v>-110.525528</v>
      </c>
      <c r="L111" s="2" t="s">
        <v>45</v>
      </c>
      <c r="M111" s="2" t="s">
        <v>46</v>
      </c>
      <c r="N111" s="2">
        <v>1.0</v>
      </c>
      <c r="O111" s="2" t="s">
        <v>47</v>
      </c>
      <c r="P111" s="8">
        <f t="shared" si="1"/>
        <v>43456</v>
      </c>
    </row>
    <row r="112" ht="15.75" customHeight="1">
      <c r="A112" s="2">
        <v>2018.0</v>
      </c>
      <c r="B112" s="2">
        <v>2018.0</v>
      </c>
      <c r="C112" s="2">
        <v>5.0</v>
      </c>
      <c r="D112" s="2">
        <v>2.0</v>
      </c>
      <c r="E112" s="2" t="s">
        <v>246</v>
      </c>
      <c r="H112" s="2" t="s">
        <v>17</v>
      </c>
      <c r="I112" s="2" t="s">
        <v>28</v>
      </c>
      <c r="J112" s="1">
        <v>60.63803</v>
      </c>
      <c r="K112" s="1">
        <v>-148.76375</v>
      </c>
      <c r="L112" s="2" t="s">
        <v>45</v>
      </c>
      <c r="M112" s="2" t="s">
        <v>46</v>
      </c>
      <c r="N112" s="2">
        <v>1.0</v>
      </c>
      <c r="O112" s="2" t="s">
        <v>247</v>
      </c>
      <c r="P112" s="8">
        <f t="shared" si="1"/>
        <v>43222</v>
      </c>
    </row>
    <row r="113" ht="15.75" customHeight="1">
      <c r="A113" s="2">
        <v>2018.0</v>
      </c>
      <c r="B113" s="2">
        <v>2018.0</v>
      </c>
      <c r="C113" s="2">
        <v>4.0</v>
      </c>
      <c r="D113" s="2">
        <v>22.0</v>
      </c>
      <c r="E113" s="2" t="s">
        <v>248</v>
      </c>
      <c r="H113" s="2" t="s">
        <v>17</v>
      </c>
      <c r="I113" s="2" t="s">
        <v>74</v>
      </c>
      <c r="J113" s="1">
        <v>43.71207</v>
      </c>
      <c r="K113" s="1">
        <v>-110.38285</v>
      </c>
      <c r="L113" s="2" t="s">
        <v>45</v>
      </c>
      <c r="M113" s="2" t="s">
        <v>46</v>
      </c>
      <c r="N113" s="2">
        <v>1.0</v>
      </c>
      <c r="O113" s="2" t="s">
        <v>47</v>
      </c>
      <c r="P113" s="8">
        <f t="shared" si="1"/>
        <v>43212</v>
      </c>
    </row>
    <row r="114" ht="15.75" customHeight="1">
      <c r="A114" s="2">
        <v>2018.0</v>
      </c>
      <c r="B114" s="2">
        <v>2018.0</v>
      </c>
      <c r="C114" s="2">
        <v>4.0</v>
      </c>
      <c r="D114" s="2">
        <v>14.0</v>
      </c>
      <c r="E114" s="2" t="s">
        <v>249</v>
      </c>
      <c r="H114" s="2" t="s">
        <v>17</v>
      </c>
      <c r="I114" s="2" t="s">
        <v>85</v>
      </c>
      <c r="J114" s="1">
        <v>45.79356</v>
      </c>
      <c r="K114" s="1">
        <v>-110.93668</v>
      </c>
      <c r="L114" s="2" t="s">
        <v>51</v>
      </c>
      <c r="M114" s="2" t="s">
        <v>25</v>
      </c>
      <c r="N114" s="2">
        <v>1.0</v>
      </c>
      <c r="O114" s="2" t="s">
        <v>52</v>
      </c>
      <c r="P114" s="8">
        <f t="shared" si="1"/>
        <v>43204</v>
      </c>
    </row>
    <row r="115" ht="15.75" customHeight="1">
      <c r="A115" s="2">
        <v>2018.0</v>
      </c>
      <c r="B115" s="2">
        <v>2018.0</v>
      </c>
      <c r="C115" s="2">
        <v>4.0</v>
      </c>
      <c r="D115" s="2">
        <v>10.0</v>
      </c>
      <c r="E115" s="2" t="s">
        <v>250</v>
      </c>
      <c r="H115" s="2" t="s">
        <v>17</v>
      </c>
      <c r="I115" s="2" t="s">
        <v>35</v>
      </c>
      <c r="J115" s="1">
        <v>39.48928</v>
      </c>
      <c r="K115" s="1">
        <v>-105.894263333</v>
      </c>
      <c r="L115" s="2" t="s">
        <v>45</v>
      </c>
      <c r="M115" s="2" t="s">
        <v>46</v>
      </c>
      <c r="N115" s="2">
        <v>1.0</v>
      </c>
      <c r="O115" s="2" t="s">
        <v>47</v>
      </c>
      <c r="P115" s="8">
        <f t="shared" si="1"/>
        <v>43200</v>
      </c>
    </row>
    <row r="116" ht="15.75" customHeight="1">
      <c r="A116" s="2">
        <v>2018.0</v>
      </c>
      <c r="B116" s="2">
        <v>2018.0</v>
      </c>
      <c r="C116" s="2">
        <v>4.0</v>
      </c>
      <c r="D116" s="2">
        <v>8.0</v>
      </c>
      <c r="E116" s="2" t="s">
        <v>251</v>
      </c>
      <c r="H116" s="2" t="s">
        <v>17</v>
      </c>
      <c r="I116" s="2" t="s">
        <v>35</v>
      </c>
      <c r="J116" s="1">
        <v>39.1356</v>
      </c>
      <c r="K116" s="1">
        <v>-106.87936</v>
      </c>
      <c r="L116" s="2" t="s">
        <v>51</v>
      </c>
      <c r="M116" s="2" t="s">
        <v>25</v>
      </c>
      <c r="N116" s="2">
        <v>1.0</v>
      </c>
      <c r="O116" s="2" t="s">
        <v>252</v>
      </c>
      <c r="P116" s="8">
        <f t="shared" si="1"/>
        <v>43198</v>
      </c>
    </row>
    <row r="117" ht="15.75" customHeight="1">
      <c r="A117" s="2">
        <v>2018.0</v>
      </c>
      <c r="B117" s="2">
        <v>2018.0</v>
      </c>
      <c r="C117" s="2">
        <v>3.0</v>
      </c>
      <c r="D117" s="2">
        <v>10.0</v>
      </c>
      <c r="E117" s="2" t="s">
        <v>253</v>
      </c>
      <c r="H117" s="2" t="s">
        <v>17</v>
      </c>
      <c r="I117" s="2" t="s">
        <v>77</v>
      </c>
      <c r="J117" s="1">
        <v>48.71588</v>
      </c>
      <c r="K117" s="1">
        <v>-121.85568</v>
      </c>
      <c r="L117" s="2" t="s">
        <v>45</v>
      </c>
      <c r="M117" s="2" t="s">
        <v>46</v>
      </c>
      <c r="N117" s="2">
        <v>1.0</v>
      </c>
      <c r="O117" s="2" t="s">
        <v>254</v>
      </c>
      <c r="P117" s="8">
        <f t="shared" si="1"/>
        <v>43169</v>
      </c>
    </row>
    <row r="118" ht="15.75" customHeight="1">
      <c r="A118" s="2">
        <v>2018.0</v>
      </c>
      <c r="B118" s="2">
        <v>2018.0</v>
      </c>
      <c r="C118" s="2">
        <v>3.0</v>
      </c>
      <c r="D118" s="2">
        <v>4.0</v>
      </c>
      <c r="E118" s="2" t="s">
        <v>255</v>
      </c>
      <c r="H118" s="2" t="s">
        <v>17</v>
      </c>
      <c r="I118" s="2" t="s">
        <v>77</v>
      </c>
      <c r="J118" s="1">
        <v>48.698</v>
      </c>
      <c r="K118" s="1">
        <v>-120.44506</v>
      </c>
      <c r="L118" s="2" t="s">
        <v>24</v>
      </c>
      <c r="M118" s="1" t="s">
        <v>25</v>
      </c>
      <c r="N118" s="2">
        <v>1.0</v>
      </c>
      <c r="O118" s="2" t="s">
        <v>256</v>
      </c>
      <c r="P118" s="8">
        <f t="shared" si="1"/>
        <v>43163</v>
      </c>
    </row>
    <row r="119" ht="15.75" customHeight="1">
      <c r="A119" s="2">
        <v>2018.0</v>
      </c>
      <c r="B119" s="2">
        <v>2018.0</v>
      </c>
      <c r="C119" s="2">
        <v>3.0</v>
      </c>
      <c r="D119" s="2">
        <v>4.0</v>
      </c>
      <c r="E119" s="2" t="s">
        <v>257</v>
      </c>
      <c r="H119" s="2" t="s">
        <v>39</v>
      </c>
      <c r="I119" s="2" t="s">
        <v>18</v>
      </c>
      <c r="J119" s="1">
        <v>38.70123</v>
      </c>
      <c r="K119" s="1">
        <v>-120.07545</v>
      </c>
      <c r="L119" s="2" t="s">
        <v>41</v>
      </c>
      <c r="M119" s="1" t="s">
        <v>20</v>
      </c>
      <c r="N119" s="2">
        <v>2.0</v>
      </c>
      <c r="O119" s="2" t="s">
        <v>258</v>
      </c>
      <c r="P119" s="8">
        <f t="shared" si="1"/>
        <v>43163</v>
      </c>
    </row>
    <row r="120" ht="15.75" customHeight="1">
      <c r="A120" s="2">
        <v>2018.0</v>
      </c>
      <c r="B120" s="2">
        <v>2018.0</v>
      </c>
      <c r="C120" s="2">
        <v>3.0</v>
      </c>
      <c r="D120" s="2">
        <v>3.0</v>
      </c>
      <c r="E120" s="2" t="s">
        <v>259</v>
      </c>
      <c r="H120" s="2" t="s">
        <v>17</v>
      </c>
      <c r="I120" s="2" t="s">
        <v>77</v>
      </c>
      <c r="J120" s="1">
        <v>47.28918</v>
      </c>
      <c r="K120" s="1">
        <v>-120.85939</v>
      </c>
      <c r="L120" s="2" t="s">
        <v>45</v>
      </c>
      <c r="M120" s="1" t="s">
        <v>46</v>
      </c>
      <c r="N120" s="2">
        <v>2.0</v>
      </c>
      <c r="O120" s="2" t="s">
        <v>260</v>
      </c>
      <c r="P120" s="8">
        <f t="shared" si="1"/>
        <v>43162</v>
      </c>
    </row>
    <row r="121" ht="15.75" customHeight="1">
      <c r="A121" s="2">
        <v>2018.0</v>
      </c>
      <c r="B121" s="2">
        <v>2018.0</v>
      </c>
      <c r="C121" s="2">
        <v>2.0</v>
      </c>
      <c r="D121" s="2">
        <v>25.0</v>
      </c>
      <c r="E121" s="2" t="s">
        <v>261</v>
      </c>
      <c r="H121" s="2" t="s">
        <v>17</v>
      </c>
      <c r="I121" s="2" t="s">
        <v>28</v>
      </c>
      <c r="J121" s="1">
        <v>55.36253</v>
      </c>
      <c r="K121" s="1">
        <v>-131.71496</v>
      </c>
      <c r="L121" s="2" t="s">
        <v>24</v>
      </c>
      <c r="M121" s="1" t="s">
        <v>60</v>
      </c>
      <c r="N121" s="2">
        <v>1.0</v>
      </c>
      <c r="O121" s="2" t="s">
        <v>262</v>
      </c>
      <c r="P121" s="8">
        <f t="shared" si="1"/>
        <v>43156</v>
      </c>
    </row>
    <row r="122" ht="15.75" customHeight="1">
      <c r="A122" s="2">
        <v>2018.0</v>
      </c>
      <c r="B122" s="2">
        <v>2018.0</v>
      </c>
      <c r="C122" s="2">
        <v>2.0</v>
      </c>
      <c r="D122" s="2">
        <v>25.0</v>
      </c>
      <c r="E122" s="2" t="s">
        <v>263</v>
      </c>
      <c r="H122" s="2" t="s">
        <v>17</v>
      </c>
      <c r="I122" s="2" t="s">
        <v>77</v>
      </c>
      <c r="J122" s="1">
        <v>47.42726</v>
      </c>
      <c r="K122" s="1">
        <v>-121.4157</v>
      </c>
      <c r="L122" s="2" t="s">
        <v>19</v>
      </c>
      <c r="M122" s="1" t="s">
        <v>103</v>
      </c>
      <c r="N122" s="2">
        <v>2.0</v>
      </c>
      <c r="O122" s="2" t="s">
        <v>264</v>
      </c>
      <c r="P122" s="8">
        <f t="shared" si="1"/>
        <v>43156</v>
      </c>
    </row>
    <row r="123" ht="15.75" customHeight="1">
      <c r="A123" s="2">
        <v>2018.0</v>
      </c>
      <c r="B123" s="2">
        <v>2018.0</v>
      </c>
      <c r="C123" s="2">
        <v>2.0</v>
      </c>
      <c r="D123" s="2">
        <v>25.0</v>
      </c>
      <c r="E123" s="2" t="s">
        <v>265</v>
      </c>
      <c r="H123" s="2" t="s">
        <v>17</v>
      </c>
      <c r="I123" s="2" t="s">
        <v>77</v>
      </c>
      <c r="J123" s="1">
        <v>47.28327</v>
      </c>
      <c r="K123" s="1">
        <v>-121.35053</v>
      </c>
      <c r="L123" s="2" t="s">
        <v>45</v>
      </c>
      <c r="M123" s="1" t="s">
        <v>46</v>
      </c>
      <c r="N123" s="2">
        <v>1.0</v>
      </c>
      <c r="O123" s="2" t="s">
        <v>266</v>
      </c>
      <c r="P123" s="8">
        <f t="shared" si="1"/>
        <v>43156</v>
      </c>
    </row>
    <row r="124" ht="15.75" customHeight="1">
      <c r="A124" s="2">
        <v>2018.0</v>
      </c>
      <c r="B124" s="2">
        <v>2018.0</v>
      </c>
      <c r="C124" s="2">
        <v>2.0</v>
      </c>
      <c r="D124" s="2">
        <v>20.0</v>
      </c>
      <c r="E124" s="2" t="s">
        <v>267</v>
      </c>
      <c r="H124" s="2" t="s">
        <v>17</v>
      </c>
      <c r="I124" s="2" t="s">
        <v>49</v>
      </c>
      <c r="J124" s="1">
        <v>43.37248</v>
      </c>
      <c r="K124" s="1">
        <v>-111.13924</v>
      </c>
      <c r="L124" s="2" t="s">
        <v>45</v>
      </c>
      <c r="M124" s="1" t="s">
        <v>46</v>
      </c>
      <c r="N124" s="2">
        <v>1.0</v>
      </c>
      <c r="O124" s="2" t="s">
        <v>47</v>
      </c>
      <c r="P124" s="8">
        <f t="shared" si="1"/>
        <v>43151</v>
      </c>
    </row>
    <row r="125" ht="15.75" customHeight="1">
      <c r="A125" s="2">
        <v>2018.0</v>
      </c>
      <c r="B125" s="2">
        <v>2018.0</v>
      </c>
      <c r="C125" s="2">
        <v>2.0</v>
      </c>
      <c r="D125" s="2">
        <v>17.0</v>
      </c>
      <c r="E125" s="2" t="s">
        <v>268</v>
      </c>
      <c r="H125" s="2" t="s">
        <v>17</v>
      </c>
      <c r="I125" s="2" t="s">
        <v>74</v>
      </c>
      <c r="J125" s="1">
        <v>43.58847</v>
      </c>
      <c r="K125" s="1">
        <v>-110.87502</v>
      </c>
      <c r="L125" s="2" t="s">
        <v>51</v>
      </c>
      <c r="M125" s="1" t="s">
        <v>25</v>
      </c>
      <c r="N125" s="2">
        <v>1.0</v>
      </c>
      <c r="O125" s="2" t="s">
        <v>269</v>
      </c>
      <c r="P125" s="8">
        <f t="shared" si="1"/>
        <v>43148</v>
      </c>
    </row>
    <row r="126" ht="15.75" customHeight="1">
      <c r="A126" s="2">
        <v>2018.0</v>
      </c>
      <c r="B126" s="2">
        <v>2018.0</v>
      </c>
      <c r="C126" s="2">
        <v>1.0</v>
      </c>
      <c r="D126" s="2">
        <v>21.0</v>
      </c>
      <c r="E126" s="2" t="s">
        <v>270</v>
      </c>
      <c r="H126" s="2" t="s">
        <v>17</v>
      </c>
      <c r="I126" s="2" t="s">
        <v>35</v>
      </c>
      <c r="J126" s="1">
        <v>37.868103</v>
      </c>
      <c r="K126" s="1">
        <v>-107.731504</v>
      </c>
      <c r="L126" s="2" t="s">
        <v>24</v>
      </c>
      <c r="M126" s="1" t="s">
        <v>25</v>
      </c>
      <c r="N126" s="2">
        <v>1.0</v>
      </c>
      <c r="O126" s="2" t="s">
        <v>271</v>
      </c>
      <c r="P126" s="8">
        <f t="shared" si="1"/>
        <v>43121</v>
      </c>
    </row>
    <row r="127" ht="15.75" customHeight="1">
      <c r="A127" s="2">
        <v>2018.0</v>
      </c>
      <c r="B127" s="2">
        <v>2018.0</v>
      </c>
      <c r="C127" s="2">
        <v>1.0</v>
      </c>
      <c r="D127" s="2">
        <v>20.0</v>
      </c>
      <c r="E127" s="2" t="s">
        <v>272</v>
      </c>
      <c r="H127" s="2" t="s">
        <v>17</v>
      </c>
      <c r="I127" s="2" t="s">
        <v>49</v>
      </c>
      <c r="J127" s="1">
        <v>44.53606</v>
      </c>
      <c r="K127" s="1">
        <v>-111.51295</v>
      </c>
      <c r="L127" s="1" t="s">
        <v>273</v>
      </c>
      <c r="M127" s="1" t="s">
        <v>107</v>
      </c>
      <c r="N127" s="2">
        <v>1.0</v>
      </c>
      <c r="O127" s="2" t="s">
        <v>274</v>
      </c>
      <c r="P127" s="8">
        <f t="shared" si="1"/>
        <v>43120</v>
      </c>
    </row>
    <row r="128" ht="15.75" customHeight="1">
      <c r="A128" s="2">
        <v>2018.0</v>
      </c>
      <c r="B128" s="2">
        <v>2018.0</v>
      </c>
      <c r="C128" s="2">
        <v>1.0</v>
      </c>
      <c r="D128" s="2">
        <v>10.0</v>
      </c>
      <c r="E128" s="2" t="s">
        <v>275</v>
      </c>
      <c r="H128" s="2" t="s">
        <v>17</v>
      </c>
      <c r="I128" s="2" t="s">
        <v>49</v>
      </c>
      <c r="J128" s="1">
        <v>44.53577</v>
      </c>
      <c r="K128" s="1">
        <v>-111.51303</v>
      </c>
      <c r="L128" s="2" t="s">
        <v>45</v>
      </c>
      <c r="M128" s="1" t="s">
        <v>46</v>
      </c>
      <c r="N128" s="2">
        <v>1.0</v>
      </c>
      <c r="O128" s="2" t="s">
        <v>276</v>
      </c>
      <c r="P128" s="8">
        <f t="shared" si="1"/>
        <v>43110</v>
      </c>
    </row>
    <row r="129" ht="15.75" customHeight="1">
      <c r="A129" s="2">
        <v>2018.0</v>
      </c>
      <c r="B129" s="2">
        <v>2018.0</v>
      </c>
      <c r="C129" s="2">
        <v>1.0</v>
      </c>
      <c r="D129" s="2">
        <v>2.0</v>
      </c>
      <c r="E129" s="2" t="s">
        <v>277</v>
      </c>
      <c r="H129" s="2" t="s">
        <v>17</v>
      </c>
      <c r="I129" s="2" t="s">
        <v>85</v>
      </c>
      <c r="J129" s="1">
        <v>44.92997</v>
      </c>
      <c r="K129" s="1">
        <v>-111.24546</v>
      </c>
      <c r="L129" s="2" t="s">
        <v>45</v>
      </c>
      <c r="M129" s="1" t="s">
        <v>46</v>
      </c>
      <c r="N129" s="2">
        <v>1.0</v>
      </c>
      <c r="O129" s="2" t="s">
        <v>47</v>
      </c>
      <c r="P129" s="8">
        <f t="shared" si="1"/>
        <v>43102</v>
      </c>
    </row>
    <row r="130" ht="15.75" customHeight="1">
      <c r="A130" s="2">
        <v>2018.0</v>
      </c>
      <c r="B130" s="2">
        <v>2017.0</v>
      </c>
      <c r="C130" s="2">
        <v>12.0</v>
      </c>
      <c r="D130" s="2">
        <v>29.0</v>
      </c>
      <c r="E130" s="2" t="s">
        <v>278</v>
      </c>
      <c r="H130" s="2" t="s">
        <v>17</v>
      </c>
      <c r="I130" s="2" t="s">
        <v>74</v>
      </c>
      <c r="J130" s="1">
        <v>42.58895</v>
      </c>
      <c r="K130" s="1">
        <v>-110.73395</v>
      </c>
      <c r="L130" s="2" t="s">
        <v>45</v>
      </c>
      <c r="M130" s="1" t="s">
        <v>46</v>
      </c>
      <c r="N130" s="2">
        <v>1.0</v>
      </c>
      <c r="O130" s="2" t="s">
        <v>247</v>
      </c>
      <c r="P130" s="8">
        <f t="shared" si="1"/>
        <v>43098</v>
      </c>
    </row>
    <row r="131" ht="15.75" customHeight="1">
      <c r="A131" s="2">
        <v>2018.0</v>
      </c>
      <c r="B131" s="2">
        <v>2017.0</v>
      </c>
      <c r="C131" s="2">
        <v>11.0</v>
      </c>
      <c r="D131" s="2">
        <v>22.0</v>
      </c>
      <c r="E131" s="2" t="s">
        <v>279</v>
      </c>
      <c r="H131" s="2" t="s">
        <v>17</v>
      </c>
      <c r="I131" s="2" t="s">
        <v>28</v>
      </c>
      <c r="J131" s="1">
        <v>61.77018</v>
      </c>
      <c r="K131" s="1">
        <v>-149.3127</v>
      </c>
      <c r="L131" s="2" t="s">
        <v>24</v>
      </c>
      <c r="M131" s="1" t="s">
        <v>25</v>
      </c>
      <c r="N131" s="2">
        <v>1.0</v>
      </c>
      <c r="O131" s="2" t="s">
        <v>36</v>
      </c>
      <c r="P131" s="8">
        <f t="shared" si="1"/>
        <v>43061</v>
      </c>
    </row>
    <row r="132" ht="15.75" customHeight="1">
      <c r="A132" s="2">
        <v>2018.0</v>
      </c>
      <c r="B132" s="2">
        <v>2017.0</v>
      </c>
      <c r="C132" s="2">
        <v>10.0</v>
      </c>
      <c r="D132" s="2">
        <v>7.0</v>
      </c>
      <c r="E132" s="2" t="s">
        <v>280</v>
      </c>
      <c r="H132" s="2" t="s">
        <v>17</v>
      </c>
      <c r="I132" s="2" t="s">
        <v>85</v>
      </c>
      <c r="J132" s="1">
        <v>44.9926</v>
      </c>
      <c r="K132" s="1">
        <v>-111.45364</v>
      </c>
      <c r="L132" s="2" t="s">
        <v>24</v>
      </c>
      <c r="M132" s="1" t="s">
        <v>281</v>
      </c>
      <c r="N132" s="2">
        <v>1.0</v>
      </c>
      <c r="O132" s="2" t="s">
        <v>160</v>
      </c>
      <c r="P132" s="8">
        <f t="shared" si="1"/>
        <v>43015</v>
      </c>
    </row>
    <row r="133" ht="15.75" customHeight="1">
      <c r="A133" s="2">
        <v>2017.0</v>
      </c>
      <c r="B133" s="2">
        <v>2017.0</v>
      </c>
      <c r="C133" s="2">
        <v>4.0</v>
      </c>
      <c r="D133" s="2">
        <v>11.0</v>
      </c>
      <c r="E133" s="2" t="s">
        <v>282</v>
      </c>
      <c r="H133" s="2" t="s">
        <v>17</v>
      </c>
      <c r="I133" s="2" t="s">
        <v>77</v>
      </c>
      <c r="J133" s="1">
        <v>47.45607</v>
      </c>
      <c r="K133" s="1">
        <v>-121.38914</v>
      </c>
      <c r="L133" s="2" t="s">
        <v>24</v>
      </c>
      <c r="M133" s="1" t="s">
        <v>20</v>
      </c>
      <c r="N133" s="2">
        <v>1.0</v>
      </c>
      <c r="O133" s="1" t="s">
        <v>283</v>
      </c>
      <c r="P133" s="8">
        <f t="shared" si="1"/>
        <v>42836</v>
      </c>
    </row>
    <row r="134" ht="15.75" customHeight="1">
      <c r="A134" s="2">
        <v>2017.0</v>
      </c>
      <c r="B134" s="2">
        <v>2017.0</v>
      </c>
      <c r="C134" s="2">
        <v>4.0</v>
      </c>
      <c r="D134" s="2">
        <v>1.0</v>
      </c>
      <c r="E134" s="2" t="s">
        <v>284</v>
      </c>
      <c r="H134" s="2" t="s">
        <v>39</v>
      </c>
      <c r="I134" s="2" t="s">
        <v>28</v>
      </c>
      <c r="J134" s="1">
        <v>64.75012</v>
      </c>
      <c r="K134" s="1">
        <v>-147.33215</v>
      </c>
      <c r="L134" s="2" t="s">
        <v>41</v>
      </c>
      <c r="M134" s="1" t="s">
        <v>20</v>
      </c>
      <c r="N134" s="2">
        <v>1.0</v>
      </c>
      <c r="O134" s="1" t="s">
        <v>285</v>
      </c>
      <c r="P134" s="8">
        <f t="shared" si="1"/>
        <v>42826</v>
      </c>
    </row>
    <row r="135" ht="15.75" customHeight="1">
      <c r="A135" s="2">
        <v>2017.0</v>
      </c>
      <c r="B135" s="2">
        <v>2017.0</v>
      </c>
      <c r="C135" s="2">
        <v>3.0</v>
      </c>
      <c r="D135" s="2">
        <v>4.0</v>
      </c>
      <c r="E135" s="2" t="s">
        <v>286</v>
      </c>
      <c r="H135" s="2" t="s">
        <v>17</v>
      </c>
      <c r="I135" s="2" t="s">
        <v>77</v>
      </c>
      <c r="J135" s="1">
        <v>47.45038</v>
      </c>
      <c r="K135" s="1">
        <v>-121.00136</v>
      </c>
      <c r="L135" s="2" t="s">
        <v>45</v>
      </c>
      <c r="M135" s="2" t="s">
        <v>46</v>
      </c>
      <c r="N135" s="2">
        <v>1.0</v>
      </c>
      <c r="O135" s="1" t="s">
        <v>146</v>
      </c>
      <c r="P135" s="8">
        <f t="shared" si="1"/>
        <v>42798</v>
      </c>
    </row>
    <row r="136" ht="15.75" customHeight="1">
      <c r="A136" s="2">
        <v>2017.0</v>
      </c>
      <c r="B136" s="2">
        <v>2017.0</v>
      </c>
      <c r="C136" s="2">
        <v>2.0</v>
      </c>
      <c r="D136" s="2">
        <v>14.0</v>
      </c>
      <c r="E136" s="2" t="s">
        <v>287</v>
      </c>
      <c r="H136" s="2" t="s">
        <v>17</v>
      </c>
      <c r="I136" s="2" t="s">
        <v>35</v>
      </c>
      <c r="J136" s="1">
        <v>40.07444</v>
      </c>
      <c r="K136" s="1">
        <v>-107.24227</v>
      </c>
      <c r="L136" s="1" t="s">
        <v>273</v>
      </c>
      <c r="M136" s="2" t="s">
        <v>107</v>
      </c>
      <c r="N136" s="2">
        <v>1.0</v>
      </c>
      <c r="O136" s="1" t="s">
        <v>288</v>
      </c>
      <c r="P136" s="8">
        <f t="shared" si="1"/>
        <v>42780</v>
      </c>
    </row>
    <row r="137" ht="15.75" customHeight="1">
      <c r="A137" s="2">
        <v>2017.0</v>
      </c>
      <c r="B137" s="2">
        <v>2017.0</v>
      </c>
      <c r="C137" s="2">
        <v>2.0</v>
      </c>
      <c r="D137" s="2">
        <v>9.0</v>
      </c>
      <c r="E137" s="2" t="s">
        <v>289</v>
      </c>
      <c r="H137" s="2" t="s">
        <v>17</v>
      </c>
      <c r="I137" s="2" t="s">
        <v>49</v>
      </c>
      <c r="J137" s="1">
        <v>43.18684</v>
      </c>
      <c r="K137" s="1">
        <v>-111.10276</v>
      </c>
      <c r="L137" s="2" t="s">
        <v>45</v>
      </c>
      <c r="M137" s="2" t="s">
        <v>46</v>
      </c>
      <c r="N137" s="2">
        <v>1.0</v>
      </c>
      <c r="O137" s="1" t="s">
        <v>290</v>
      </c>
      <c r="P137" s="8">
        <f t="shared" si="1"/>
        <v>42775</v>
      </c>
    </row>
    <row r="138" ht="15.75" customHeight="1">
      <c r="A138" s="2">
        <v>2017.0</v>
      </c>
      <c r="B138" s="2">
        <v>2017.0</v>
      </c>
      <c r="C138" s="2">
        <v>1.0</v>
      </c>
      <c r="D138" s="2">
        <v>28.0</v>
      </c>
      <c r="E138" s="2" t="s">
        <v>291</v>
      </c>
      <c r="H138" s="2" t="s">
        <v>17</v>
      </c>
      <c r="I138" s="2" t="s">
        <v>28</v>
      </c>
      <c r="J138" s="1">
        <v>60.49072</v>
      </c>
      <c r="K138" s="1">
        <v>-149.81369</v>
      </c>
      <c r="L138" s="2" t="s">
        <v>45</v>
      </c>
      <c r="M138" s="2" t="s">
        <v>46</v>
      </c>
      <c r="N138" s="2">
        <v>1.0</v>
      </c>
      <c r="O138" s="1" t="s">
        <v>146</v>
      </c>
      <c r="P138" s="8">
        <f t="shared" si="1"/>
        <v>42763</v>
      </c>
    </row>
    <row r="139" ht="15.75" customHeight="1">
      <c r="A139" s="2">
        <v>2017.0</v>
      </c>
      <c r="B139" s="2">
        <v>2017.0</v>
      </c>
      <c r="C139" s="2">
        <v>1.0</v>
      </c>
      <c r="D139" s="2">
        <v>5.0</v>
      </c>
      <c r="E139" s="2" t="s">
        <v>292</v>
      </c>
      <c r="H139" s="2" t="s">
        <v>17</v>
      </c>
      <c r="I139" s="2" t="s">
        <v>85</v>
      </c>
      <c r="J139" s="1">
        <v>48.65865</v>
      </c>
      <c r="K139" s="1">
        <v>-113.89389</v>
      </c>
      <c r="L139" s="2" t="s">
        <v>24</v>
      </c>
      <c r="M139" s="2" t="s">
        <v>25</v>
      </c>
      <c r="N139" s="2">
        <v>1.0</v>
      </c>
      <c r="O139" s="1" t="s">
        <v>293</v>
      </c>
      <c r="P139" s="8">
        <f t="shared" si="1"/>
        <v>42740</v>
      </c>
    </row>
    <row r="140" ht="15.75" customHeight="1">
      <c r="A140" s="2">
        <v>2017.0</v>
      </c>
      <c r="B140" s="2">
        <v>2017.0</v>
      </c>
      <c r="C140" s="2">
        <v>1.0</v>
      </c>
      <c r="D140" s="2">
        <v>4.0</v>
      </c>
      <c r="E140" s="2" t="s">
        <v>294</v>
      </c>
      <c r="H140" s="2" t="s">
        <v>17</v>
      </c>
      <c r="I140" s="2" t="s">
        <v>77</v>
      </c>
      <c r="J140" s="1">
        <v>46.93807</v>
      </c>
      <c r="K140" s="1">
        <v>-121.50192</v>
      </c>
      <c r="L140" s="2" t="s">
        <v>24</v>
      </c>
      <c r="M140" s="2" t="s">
        <v>25</v>
      </c>
      <c r="N140" s="2">
        <v>1.0</v>
      </c>
      <c r="O140" s="1" t="s">
        <v>293</v>
      </c>
      <c r="P140" s="8">
        <f t="shared" si="1"/>
        <v>42739</v>
      </c>
    </row>
    <row r="141" ht="15.75" customHeight="1">
      <c r="A141" s="2">
        <v>2017.0</v>
      </c>
      <c r="B141" s="2">
        <v>2016.0</v>
      </c>
      <c r="C141" s="2">
        <v>12.0</v>
      </c>
      <c r="D141" s="2">
        <v>27.0</v>
      </c>
      <c r="E141" s="2" t="s">
        <v>295</v>
      </c>
      <c r="H141" s="2" t="s">
        <v>17</v>
      </c>
      <c r="I141" s="2" t="s">
        <v>77</v>
      </c>
      <c r="J141" s="1">
        <v>46.63541</v>
      </c>
      <c r="K141" s="1">
        <v>-121.39051</v>
      </c>
      <c r="L141" s="2" t="s">
        <v>51</v>
      </c>
      <c r="M141" s="2" t="s">
        <v>25</v>
      </c>
      <c r="N141" s="2">
        <v>1.0</v>
      </c>
      <c r="O141" s="1" t="s">
        <v>296</v>
      </c>
      <c r="P141" s="8">
        <f t="shared" si="1"/>
        <v>42731</v>
      </c>
    </row>
    <row r="142" ht="15.75" customHeight="1">
      <c r="A142" s="2">
        <v>2017.0</v>
      </c>
      <c r="B142" s="2">
        <v>2016.0</v>
      </c>
      <c r="C142" s="2">
        <v>12.0</v>
      </c>
      <c r="D142" s="2">
        <v>23.0</v>
      </c>
      <c r="E142" s="2" t="s">
        <v>297</v>
      </c>
      <c r="H142" s="2" t="s">
        <v>17</v>
      </c>
      <c r="I142" s="2" t="s">
        <v>74</v>
      </c>
      <c r="J142" s="1">
        <v>43.777267</v>
      </c>
      <c r="K142" s="1">
        <v>-110.9207</v>
      </c>
      <c r="L142" s="2" t="s">
        <v>51</v>
      </c>
      <c r="M142" s="2" t="s">
        <v>20</v>
      </c>
      <c r="N142" s="2">
        <v>1.0</v>
      </c>
      <c r="O142" s="1" t="s">
        <v>298</v>
      </c>
      <c r="P142" s="8">
        <f t="shared" si="1"/>
        <v>42727</v>
      </c>
    </row>
    <row r="143" ht="15.75" customHeight="1">
      <c r="A143" s="2">
        <v>2017.0</v>
      </c>
      <c r="B143" s="2">
        <v>2016.0</v>
      </c>
      <c r="C143" s="2">
        <v>12.0</v>
      </c>
      <c r="D143" s="2">
        <v>11.0</v>
      </c>
      <c r="E143" s="2" t="s">
        <v>299</v>
      </c>
      <c r="H143" s="2" t="s">
        <v>17</v>
      </c>
      <c r="I143" s="2" t="s">
        <v>85</v>
      </c>
      <c r="J143" s="1">
        <v>45.05133</v>
      </c>
      <c r="K143" s="1">
        <v>-109.94499</v>
      </c>
      <c r="L143" s="2" t="s">
        <v>300</v>
      </c>
      <c r="M143" s="2" t="s">
        <v>25</v>
      </c>
      <c r="N143" s="2">
        <v>1.0</v>
      </c>
      <c r="O143" s="1" t="s">
        <v>301</v>
      </c>
      <c r="P143" s="8">
        <f t="shared" si="1"/>
        <v>42715</v>
      </c>
    </row>
    <row r="144" ht="15.75" customHeight="1">
      <c r="A144" s="2">
        <v>2017.0</v>
      </c>
      <c r="B144" s="2">
        <v>2016.0</v>
      </c>
      <c r="C144" s="2">
        <v>12.0</v>
      </c>
      <c r="D144" s="2">
        <v>10.0</v>
      </c>
      <c r="E144" s="2" t="s">
        <v>302</v>
      </c>
      <c r="H144" s="2" t="s">
        <v>121</v>
      </c>
      <c r="I144" s="2" t="s">
        <v>80</v>
      </c>
      <c r="J144" s="1">
        <v>39.319495</v>
      </c>
      <c r="K144" s="1">
        <v>-119.882984</v>
      </c>
      <c r="L144" s="2" t="s">
        <v>197</v>
      </c>
      <c r="M144" s="2" t="s">
        <v>25</v>
      </c>
      <c r="N144" s="2">
        <v>1.0</v>
      </c>
      <c r="O144" s="1" t="s">
        <v>303</v>
      </c>
      <c r="P144" s="8">
        <f t="shared" si="1"/>
        <v>42714</v>
      </c>
    </row>
    <row r="145" ht="15.75" customHeight="1">
      <c r="A145" s="2">
        <v>2016.0</v>
      </c>
      <c r="B145" s="2">
        <v>2016.0</v>
      </c>
      <c r="C145" s="2">
        <v>4.0</v>
      </c>
      <c r="D145" s="2">
        <v>11.0</v>
      </c>
      <c r="E145" s="2" t="s">
        <v>304</v>
      </c>
      <c r="H145" s="2" t="s">
        <v>17</v>
      </c>
      <c r="I145" s="2" t="s">
        <v>28</v>
      </c>
      <c r="J145" s="1">
        <v>63.13543</v>
      </c>
      <c r="K145" s="1">
        <v>-145.54688</v>
      </c>
      <c r="L145" s="2" t="s">
        <v>45</v>
      </c>
      <c r="M145" s="2" t="s">
        <v>46</v>
      </c>
      <c r="N145" s="2">
        <v>1.0</v>
      </c>
      <c r="O145" s="1" t="s">
        <v>305</v>
      </c>
      <c r="P145" s="8">
        <f t="shared" si="1"/>
        <v>42471</v>
      </c>
    </row>
    <row r="146" ht="15.75" customHeight="1">
      <c r="A146" s="2">
        <v>2016.0</v>
      </c>
      <c r="B146" s="2">
        <v>2016.0</v>
      </c>
      <c r="C146" s="2">
        <v>4.0</v>
      </c>
      <c r="D146" s="2">
        <v>3.0</v>
      </c>
      <c r="E146" s="2" t="s">
        <v>304</v>
      </c>
      <c r="H146" s="2" t="s">
        <v>17</v>
      </c>
      <c r="I146" s="2" t="s">
        <v>28</v>
      </c>
      <c r="J146" s="1">
        <v>63.13287</v>
      </c>
      <c r="K146" s="1">
        <v>-145.51838</v>
      </c>
      <c r="L146" s="2" t="s">
        <v>45</v>
      </c>
      <c r="M146" s="2" t="s">
        <v>46</v>
      </c>
      <c r="N146" s="2">
        <v>1.0</v>
      </c>
      <c r="O146" s="1" t="s">
        <v>146</v>
      </c>
      <c r="P146" s="8">
        <f t="shared" si="1"/>
        <v>42463</v>
      </c>
    </row>
    <row r="147" ht="15.75" customHeight="1">
      <c r="A147" s="2">
        <v>2016.0</v>
      </c>
      <c r="B147" s="2">
        <v>2016.0</v>
      </c>
      <c r="C147" s="2">
        <v>3.0</v>
      </c>
      <c r="D147" s="2">
        <v>22.0</v>
      </c>
      <c r="E147" s="2" t="s">
        <v>306</v>
      </c>
      <c r="H147" s="2" t="s">
        <v>196</v>
      </c>
      <c r="I147" s="2" t="s">
        <v>59</v>
      </c>
      <c r="J147" s="1">
        <v>43.15673</v>
      </c>
      <c r="K147" s="1">
        <v>-122.21706</v>
      </c>
      <c r="L147" s="2" t="s">
        <v>217</v>
      </c>
      <c r="M147" s="2" t="s">
        <v>25</v>
      </c>
      <c r="N147" s="2">
        <v>1.0</v>
      </c>
      <c r="O147" s="1" t="s">
        <v>307</v>
      </c>
      <c r="P147" s="8">
        <f t="shared" si="1"/>
        <v>42451</v>
      </c>
    </row>
    <row r="148" ht="15.75" customHeight="1">
      <c r="A148" s="2">
        <v>2016.0</v>
      </c>
      <c r="B148" s="2">
        <v>2016.0</v>
      </c>
      <c r="C148" s="2">
        <v>3.0</v>
      </c>
      <c r="D148" s="2">
        <v>8.0</v>
      </c>
      <c r="E148" s="2" t="s">
        <v>308</v>
      </c>
      <c r="H148" s="2" t="s">
        <v>17</v>
      </c>
      <c r="I148" s="2" t="s">
        <v>59</v>
      </c>
      <c r="J148" s="1">
        <v>45.38254</v>
      </c>
      <c r="K148" s="1">
        <v>-117.23099</v>
      </c>
      <c r="L148" s="2" t="s">
        <v>24</v>
      </c>
      <c r="M148" s="2" t="s">
        <v>25</v>
      </c>
      <c r="N148" s="2">
        <v>1.0</v>
      </c>
      <c r="O148" s="1" t="s">
        <v>309</v>
      </c>
      <c r="P148" s="8">
        <f t="shared" si="1"/>
        <v>42437</v>
      </c>
    </row>
    <row r="149" ht="15.75" customHeight="1">
      <c r="A149" s="2">
        <v>2016.0</v>
      </c>
      <c r="B149" s="2">
        <v>2016.0</v>
      </c>
      <c r="C149" s="2">
        <v>2.0</v>
      </c>
      <c r="D149" s="2">
        <v>27.0</v>
      </c>
      <c r="E149" s="2" t="s">
        <v>310</v>
      </c>
      <c r="H149" s="2" t="s">
        <v>17</v>
      </c>
      <c r="I149" s="2" t="s">
        <v>28</v>
      </c>
      <c r="J149" s="1">
        <v>61.9341</v>
      </c>
      <c r="K149" s="1">
        <v>-147.16324</v>
      </c>
      <c r="L149" s="2" t="s">
        <v>45</v>
      </c>
      <c r="M149" s="2" t="s">
        <v>46</v>
      </c>
      <c r="N149" s="2">
        <v>1.0</v>
      </c>
      <c r="O149" s="1" t="s">
        <v>254</v>
      </c>
      <c r="P149" s="8">
        <f t="shared" si="1"/>
        <v>42427</v>
      </c>
    </row>
    <row r="150" ht="15.75" customHeight="1">
      <c r="A150" s="2">
        <v>2016.0</v>
      </c>
      <c r="B150" s="2">
        <v>2016.0</v>
      </c>
      <c r="C150" s="2">
        <v>2.0</v>
      </c>
      <c r="D150" s="2">
        <v>26.0</v>
      </c>
      <c r="E150" s="1" t="s">
        <v>311</v>
      </c>
      <c r="H150" s="2" t="s">
        <v>39</v>
      </c>
      <c r="I150" s="2" t="s">
        <v>49</v>
      </c>
      <c r="J150" s="1">
        <v>44.50079</v>
      </c>
      <c r="K150" s="1">
        <v>-111.33665</v>
      </c>
      <c r="L150" s="2" t="s">
        <v>41</v>
      </c>
      <c r="M150" s="2" t="s">
        <v>20</v>
      </c>
      <c r="N150" s="2">
        <v>1.0</v>
      </c>
      <c r="O150" s="1" t="s">
        <v>312</v>
      </c>
      <c r="P150" s="8">
        <f t="shared" si="1"/>
        <v>42426</v>
      </c>
    </row>
    <row r="151" ht="15.75" customHeight="1">
      <c r="A151" s="2">
        <v>2016.0</v>
      </c>
      <c r="B151" s="2">
        <v>2016.0</v>
      </c>
      <c r="C151" s="2">
        <v>2.0</v>
      </c>
      <c r="D151" s="2">
        <v>21.0</v>
      </c>
      <c r="E151" s="2" t="s">
        <v>313</v>
      </c>
      <c r="H151" s="2" t="s">
        <v>17</v>
      </c>
      <c r="I151" s="2" t="s">
        <v>74</v>
      </c>
      <c r="J151" s="1">
        <v>43.78727</v>
      </c>
      <c r="K151" s="1">
        <v>-110.95917</v>
      </c>
      <c r="L151" s="2" t="s">
        <v>51</v>
      </c>
      <c r="M151" s="2" t="s">
        <v>20</v>
      </c>
      <c r="N151" s="2">
        <v>1.0</v>
      </c>
      <c r="O151" s="1" t="s">
        <v>314</v>
      </c>
      <c r="P151" s="8">
        <f t="shared" si="1"/>
        <v>42421</v>
      </c>
    </row>
    <row r="152" ht="15.75" customHeight="1">
      <c r="A152" s="2">
        <v>2016.0</v>
      </c>
      <c r="B152" s="2">
        <v>2016.0</v>
      </c>
      <c r="C152" s="2">
        <v>2.0</v>
      </c>
      <c r="D152" s="2">
        <v>19.0</v>
      </c>
      <c r="E152" s="2" t="s">
        <v>315</v>
      </c>
      <c r="H152" s="2" t="s">
        <v>17</v>
      </c>
      <c r="I152" s="2" t="s">
        <v>74</v>
      </c>
      <c r="J152" s="1">
        <v>44.61589</v>
      </c>
      <c r="K152" s="1">
        <v>-107.38586</v>
      </c>
      <c r="L152" s="2" t="s">
        <v>45</v>
      </c>
      <c r="M152" s="2" t="s">
        <v>46</v>
      </c>
      <c r="N152" s="2">
        <v>1.0</v>
      </c>
      <c r="O152" s="1" t="s">
        <v>63</v>
      </c>
      <c r="P152" s="8">
        <f t="shared" si="1"/>
        <v>42419</v>
      </c>
    </row>
    <row r="153" ht="15.75" customHeight="1">
      <c r="A153" s="2">
        <v>2016.0</v>
      </c>
      <c r="B153" s="2">
        <v>2016.0</v>
      </c>
      <c r="C153" s="2">
        <v>2.0</v>
      </c>
      <c r="D153" s="2">
        <v>5.0</v>
      </c>
      <c r="E153" s="2" t="s">
        <v>316</v>
      </c>
      <c r="H153" s="2" t="s">
        <v>17</v>
      </c>
      <c r="I153" s="2" t="s">
        <v>35</v>
      </c>
      <c r="J153" s="1">
        <v>38.78811</v>
      </c>
      <c r="K153" s="1">
        <v>-106.38731</v>
      </c>
      <c r="L153" s="1" t="s">
        <v>273</v>
      </c>
      <c r="M153" s="2" t="s">
        <v>107</v>
      </c>
      <c r="N153" s="2">
        <v>1.0</v>
      </c>
      <c r="O153" s="1" t="s">
        <v>317</v>
      </c>
      <c r="P153" s="8">
        <f t="shared" si="1"/>
        <v>42405</v>
      </c>
    </row>
    <row r="154" ht="15.75" customHeight="1">
      <c r="A154" s="2">
        <v>2016.0</v>
      </c>
      <c r="B154" s="2">
        <v>2016.0</v>
      </c>
      <c r="C154" s="2">
        <v>2.0</v>
      </c>
      <c r="D154" s="2">
        <v>2.0</v>
      </c>
      <c r="E154" s="2" t="s">
        <v>318</v>
      </c>
      <c r="H154" s="2" t="s">
        <v>17</v>
      </c>
      <c r="I154" s="2" t="s">
        <v>35</v>
      </c>
      <c r="J154" s="1">
        <v>37.49201</v>
      </c>
      <c r="K154" s="1">
        <v>-106.70106</v>
      </c>
      <c r="L154" s="2" t="s">
        <v>45</v>
      </c>
      <c r="M154" s="2" t="s">
        <v>46</v>
      </c>
      <c r="N154" s="2">
        <v>1.0</v>
      </c>
      <c r="O154" s="1" t="s">
        <v>319</v>
      </c>
      <c r="P154" s="8">
        <f t="shared" si="1"/>
        <v>42402</v>
      </c>
    </row>
    <row r="155" ht="15.75" customHeight="1">
      <c r="A155" s="2">
        <v>2016.0</v>
      </c>
      <c r="B155" s="2">
        <v>2016.0</v>
      </c>
      <c r="C155" s="2">
        <v>1.0</v>
      </c>
      <c r="D155" s="2">
        <v>31.0</v>
      </c>
      <c r="E155" s="2" t="s">
        <v>320</v>
      </c>
      <c r="H155" s="2" t="s">
        <v>17</v>
      </c>
      <c r="I155" s="2" t="s">
        <v>40</v>
      </c>
      <c r="J155" s="1">
        <v>40.68023</v>
      </c>
      <c r="K155" s="1">
        <v>-111.59942</v>
      </c>
      <c r="L155" s="2" t="s">
        <v>51</v>
      </c>
      <c r="M155" s="2" t="s">
        <v>25</v>
      </c>
      <c r="N155" s="2">
        <v>1.0</v>
      </c>
      <c r="O155" s="1" t="s">
        <v>321</v>
      </c>
      <c r="P155" s="8">
        <f t="shared" si="1"/>
        <v>42400</v>
      </c>
    </row>
    <row r="156" ht="15.75" customHeight="1">
      <c r="A156" s="2">
        <v>2016.0</v>
      </c>
      <c r="B156" s="2">
        <v>2016.0</v>
      </c>
      <c r="C156" s="2">
        <v>1.0</v>
      </c>
      <c r="D156" s="2">
        <v>31.0</v>
      </c>
      <c r="E156" s="2" t="s">
        <v>322</v>
      </c>
      <c r="H156" s="2" t="s">
        <v>17</v>
      </c>
      <c r="I156" s="2" t="s">
        <v>49</v>
      </c>
      <c r="J156" s="1">
        <v>45.02176</v>
      </c>
      <c r="K156" s="1">
        <v>-116.12926</v>
      </c>
      <c r="L156" s="2" t="s">
        <v>45</v>
      </c>
      <c r="M156" s="2" t="s">
        <v>46</v>
      </c>
      <c r="N156" s="2">
        <v>1.0</v>
      </c>
      <c r="O156" s="1" t="s">
        <v>63</v>
      </c>
      <c r="P156" s="8">
        <f t="shared" si="1"/>
        <v>42400</v>
      </c>
    </row>
    <row r="157" ht="15.75" customHeight="1">
      <c r="A157" s="2">
        <v>2016.0</v>
      </c>
      <c r="B157" s="2">
        <v>2016.0</v>
      </c>
      <c r="C157" s="2">
        <v>1.0</v>
      </c>
      <c r="D157" s="2">
        <v>24.0</v>
      </c>
      <c r="E157" s="2" t="s">
        <v>323</v>
      </c>
      <c r="H157" s="2" t="s">
        <v>17</v>
      </c>
      <c r="I157" s="2" t="s">
        <v>77</v>
      </c>
      <c r="J157" s="1">
        <v>48.86637</v>
      </c>
      <c r="K157" s="1">
        <v>-121.7029</v>
      </c>
      <c r="L157" s="2" t="s">
        <v>24</v>
      </c>
      <c r="M157" s="2" t="s">
        <v>20</v>
      </c>
      <c r="N157" s="2">
        <v>1.0</v>
      </c>
      <c r="O157" s="1" t="s">
        <v>324</v>
      </c>
      <c r="P157" s="8">
        <f t="shared" si="1"/>
        <v>42393</v>
      </c>
    </row>
    <row r="158" ht="15.75" customHeight="1">
      <c r="A158" s="2">
        <v>2016.0</v>
      </c>
      <c r="B158" s="2">
        <v>2016.0</v>
      </c>
      <c r="C158" s="2">
        <v>1.0</v>
      </c>
      <c r="D158" s="2">
        <v>24.0</v>
      </c>
      <c r="E158" s="1" t="s">
        <v>325</v>
      </c>
      <c r="H158" s="2" t="s">
        <v>17</v>
      </c>
      <c r="I158" s="2" t="s">
        <v>74</v>
      </c>
      <c r="J158" s="1">
        <v>43.59215</v>
      </c>
      <c r="K158" s="1">
        <v>-110.87834</v>
      </c>
      <c r="L158" s="2" t="s">
        <v>51</v>
      </c>
      <c r="M158" s="2" t="s">
        <v>25</v>
      </c>
      <c r="N158" s="2">
        <v>2.0</v>
      </c>
      <c r="O158" s="1" t="s">
        <v>326</v>
      </c>
      <c r="P158" s="8">
        <f t="shared" si="1"/>
        <v>42393</v>
      </c>
    </row>
    <row r="159" ht="15.75" customHeight="1">
      <c r="A159" s="2">
        <v>2016.0</v>
      </c>
      <c r="B159" s="2">
        <v>2016.0</v>
      </c>
      <c r="C159" s="2">
        <v>1.0</v>
      </c>
      <c r="D159" s="2">
        <v>23.0</v>
      </c>
      <c r="E159" s="2" t="s">
        <v>327</v>
      </c>
      <c r="H159" s="2" t="s">
        <v>17</v>
      </c>
      <c r="I159" s="2" t="s">
        <v>85</v>
      </c>
      <c r="J159" s="1">
        <v>48.65633</v>
      </c>
      <c r="K159" s="1">
        <v>-114.55822</v>
      </c>
      <c r="L159" s="2" t="s">
        <v>45</v>
      </c>
      <c r="M159" s="2" t="s">
        <v>46</v>
      </c>
      <c r="N159" s="2">
        <v>1.0</v>
      </c>
      <c r="O159" s="1" t="s">
        <v>328</v>
      </c>
      <c r="P159" s="8">
        <f t="shared" si="1"/>
        <v>42392</v>
      </c>
    </row>
    <row r="160" ht="15.75" customHeight="1">
      <c r="A160" s="2">
        <v>2016.0</v>
      </c>
      <c r="B160" s="2">
        <v>2016.0</v>
      </c>
      <c r="C160" s="2">
        <v>1.0</v>
      </c>
      <c r="D160" s="2">
        <v>22.0</v>
      </c>
      <c r="E160" s="2" t="s">
        <v>329</v>
      </c>
      <c r="H160" s="2" t="s">
        <v>17</v>
      </c>
      <c r="I160" s="2" t="s">
        <v>35</v>
      </c>
      <c r="J160" s="1">
        <v>39.75178</v>
      </c>
      <c r="K160" s="1">
        <v>-105.83877</v>
      </c>
      <c r="L160" s="2" t="s">
        <v>24</v>
      </c>
      <c r="M160" s="2" t="s">
        <v>60</v>
      </c>
      <c r="N160" s="2">
        <v>1.0</v>
      </c>
      <c r="O160" s="1" t="s">
        <v>185</v>
      </c>
      <c r="P160" s="8">
        <f t="shared" si="1"/>
        <v>42391</v>
      </c>
    </row>
    <row r="161" ht="15.75" customHeight="1">
      <c r="A161" s="2">
        <v>2016.0</v>
      </c>
      <c r="B161" s="2">
        <v>2016.0</v>
      </c>
      <c r="C161" s="2">
        <v>1.0</v>
      </c>
      <c r="D161" s="2">
        <v>21.0</v>
      </c>
      <c r="E161" s="2" t="s">
        <v>330</v>
      </c>
      <c r="H161" s="2" t="s">
        <v>17</v>
      </c>
      <c r="I161" s="2" t="s">
        <v>40</v>
      </c>
      <c r="J161" s="1">
        <v>40.66633</v>
      </c>
      <c r="K161" s="1">
        <v>-111.68551</v>
      </c>
      <c r="L161" s="2" t="s">
        <v>24</v>
      </c>
      <c r="M161" s="2" t="s">
        <v>25</v>
      </c>
      <c r="N161" s="2">
        <v>1.0</v>
      </c>
      <c r="O161" s="1" t="s">
        <v>331</v>
      </c>
      <c r="P161" s="8">
        <f t="shared" si="1"/>
        <v>42390</v>
      </c>
    </row>
    <row r="162" ht="15.75" customHeight="1">
      <c r="A162" s="2">
        <v>2016.0</v>
      </c>
      <c r="B162" s="2">
        <v>2016.0</v>
      </c>
      <c r="C162" s="2">
        <v>1.0</v>
      </c>
      <c r="D162" s="2">
        <v>21.0</v>
      </c>
      <c r="E162" s="2" t="s">
        <v>332</v>
      </c>
      <c r="H162" s="2" t="s">
        <v>17</v>
      </c>
      <c r="I162" s="2" t="s">
        <v>35</v>
      </c>
      <c r="J162" s="1">
        <v>38.89564</v>
      </c>
      <c r="K162" s="1">
        <v>-107.12571</v>
      </c>
      <c r="L162" s="2" t="s">
        <v>45</v>
      </c>
      <c r="M162" s="2" t="s">
        <v>46</v>
      </c>
      <c r="N162" s="2">
        <v>1.0</v>
      </c>
      <c r="O162" s="1" t="s">
        <v>333</v>
      </c>
      <c r="P162" s="8">
        <f t="shared" si="1"/>
        <v>42390</v>
      </c>
    </row>
    <row r="163" ht="15.75" customHeight="1">
      <c r="A163" s="2">
        <v>2016.0</v>
      </c>
      <c r="B163" s="2">
        <v>2016.0</v>
      </c>
      <c r="C163" s="2">
        <v>1.0</v>
      </c>
      <c r="D163" s="2">
        <v>19.0</v>
      </c>
      <c r="E163" s="2" t="s">
        <v>334</v>
      </c>
      <c r="H163" s="2" t="s">
        <v>17</v>
      </c>
      <c r="I163" s="2" t="s">
        <v>74</v>
      </c>
      <c r="J163" s="1">
        <v>43.58226</v>
      </c>
      <c r="K163" s="1">
        <v>-110.8263</v>
      </c>
      <c r="L163" s="2" t="s">
        <v>24</v>
      </c>
      <c r="M163" s="2" t="s">
        <v>60</v>
      </c>
      <c r="N163" s="2">
        <v>1.0</v>
      </c>
      <c r="O163" s="1" t="s">
        <v>36</v>
      </c>
      <c r="P163" s="8">
        <f t="shared" si="1"/>
        <v>42388</v>
      </c>
    </row>
    <row r="164" ht="15.75" customHeight="1">
      <c r="A164" s="2">
        <v>2016.0</v>
      </c>
      <c r="B164" s="2">
        <v>2016.0</v>
      </c>
      <c r="C164" s="2">
        <v>1.0</v>
      </c>
      <c r="D164" s="2">
        <v>19.0</v>
      </c>
      <c r="E164" s="2" t="s">
        <v>335</v>
      </c>
      <c r="H164" s="2" t="s">
        <v>17</v>
      </c>
      <c r="I164" s="2" t="s">
        <v>85</v>
      </c>
      <c r="J164" s="1">
        <v>45.2674</v>
      </c>
      <c r="K164" s="1">
        <v>-111.29631</v>
      </c>
      <c r="L164" s="2" t="s">
        <v>24</v>
      </c>
      <c r="M164" s="2" t="s">
        <v>25</v>
      </c>
      <c r="N164" s="2">
        <v>1.0</v>
      </c>
      <c r="O164" s="1" t="s">
        <v>134</v>
      </c>
      <c r="P164" s="8">
        <f t="shared" si="1"/>
        <v>42388</v>
      </c>
    </row>
    <row r="165" ht="15.75" customHeight="1">
      <c r="A165" s="2">
        <v>2016.0</v>
      </c>
      <c r="B165" s="2">
        <v>2016.0</v>
      </c>
      <c r="C165" s="2">
        <v>1.0</v>
      </c>
      <c r="D165" s="2">
        <v>16.0</v>
      </c>
      <c r="E165" s="2" t="s">
        <v>336</v>
      </c>
      <c r="H165" s="2" t="s">
        <v>17</v>
      </c>
      <c r="I165" s="2" t="s">
        <v>28</v>
      </c>
      <c r="J165" s="1">
        <v>61.77334</v>
      </c>
      <c r="K165" s="1">
        <v>-149.30763</v>
      </c>
      <c r="L165" s="2" t="s">
        <v>24</v>
      </c>
      <c r="M165" s="2" t="s">
        <v>60</v>
      </c>
      <c r="N165" s="2">
        <v>1.0</v>
      </c>
      <c r="O165" s="1" t="s">
        <v>337</v>
      </c>
      <c r="P165" s="8">
        <f t="shared" si="1"/>
        <v>42385</v>
      </c>
    </row>
    <row r="166" ht="15.75" customHeight="1">
      <c r="A166" s="2">
        <v>2016.0</v>
      </c>
      <c r="B166" s="2">
        <v>2016.0</v>
      </c>
      <c r="C166" s="2">
        <v>1.0</v>
      </c>
      <c r="D166" s="2">
        <v>16.0</v>
      </c>
      <c r="E166" s="1" t="s">
        <v>338</v>
      </c>
      <c r="H166" s="2" t="s">
        <v>17</v>
      </c>
      <c r="I166" s="2" t="s">
        <v>35</v>
      </c>
      <c r="J166" s="1">
        <v>39.8328</v>
      </c>
      <c r="K166" s="1">
        <v>-105.64831</v>
      </c>
      <c r="L166" s="2" t="s">
        <v>29</v>
      </c>
      <c r="M166" s="2" t="s">
        <v>20</v>
      </c>
      <c r="N166" s="2">
        <v>1.0</v>
      </c>
      <c r="O166" s="1" t="s">
        <v>339</v>
      </c>
      <c r="P166" s="8">
        <f t="shared" si="1"/>
        <v>42385</v>
      </c>
    </row>
    <row r="167" ht="15.75" customHeight="1">
      <c r="A167" s="2">
        <v>2016.0</v>
      </c>
      <c r="B167" s="2">
        <v>2016.0</v>
      </c>
      <c r="C167" s="2">
        <v>1.0</v>
      </c>
      <c r="D167" s="2">
        <v>14.0</v>
      </c>
      <c r="E167" s="2" t="s">
        <v>340</v>
      </c>
      <c r="H167" s="2" t="s">
        <v>17</v>
      </c>
      <c r="I167" s="2" t="s">
        <v>18</v>
      </c>
      <c r="J167" s="1">
        <v>39.31398</v>
      </c>
      <c r="K167" s="1">
        <v>-120.3389</v>
      </c>
      <c r="L167" s="2" t="s">
        <v>51</v>
      </c>
      <c r="M167" s="2" t="s">
        <v>25</v>
      </c>
      <c r="N167" s="2">
        <v>1.0</v>
      </c>
      <c r="O167" s="1" t="s">
        <v>296</v>
      </c>
      <c r="P167" s="8">
        <f t="shared" si="1"/>
        <v>42383</v>
      </c>
    </row>
    <row r="168" ht="15.75" customHeight="1">
      <c r="A168" s="2">
        <v>2016.0</v>
      </c>
      <c r="B168" s="2">
        <v>2016.0</v>
      </c>
      <c r="C168" s="2">
        <v>1.0</v>
      </c>
      <c r="D168" s="2">
        <v>2.0</v>
      </c>
      <c r="E168" s="2" t="s">
        <v>341</v>
      </c>
      <c r="H168" s="2" t="s">
        <v>17</v>
      </c>
      <c r="I168" s="2" t="s">
        <v>28</v>
      </c>
      <c r="J168" s="1">
        <v>61.76959</v>
      </c>
      <c r="K168" s="1">
        <v>-149.31244</v>
      </c>
      <c r="L168" s="2" t="s">
        <v>45</v>
      </c>
      <c r="M168" s="2" t="s">
        <v>46</v>
      </c>
      <c r="N168" s="2">
        <v>1.0</v>
      </c>
      <c r="O168" s="1" t="s">
        <v>290</v>
      </c>
      <c r="P168" s="8">
        <f t="shared" si="1"/>
        <v>42371</v>
      </c>
    </row>
    <row r="169" ht="15.75" customHeight="1">
      <c r="A169" s="2">
        <v>2016.0</v>
      </c>
      <c r="B169" s="2">
        <v>2015.0</v>
      </c>
      <c r="C169" s="2">
        <v>12.0</v>
      </c>
      <c r="D169" s="2">
        <v>31.0</v>
      </c>
      <c r="E169" s="2" t="s">
        <v>342</v>
      </c>
      <c r="H169" s="2" t="s">
        <v>17</v>
      </c>
      <c r="I169" s="2" t="s">
        <v>77</v>
      </c>
      <c r="J169" s="1">
        <v>47.42748</v>
      </c>
      <c r="K169" s="1">
        <v>-121.41789</v>
      </c>
      <c r="L169" s="2" t="s">
        <v>19</v>
      </c>
      <c r="M169" s="2" t="s">
        <v>103</v>
      </c>
      <c r="N169" s="2">
        <v>1.0</v>
      </c>
      <c r="O169" s="1" t="s">
        <v>343</v>
      </c>
      <c r="P169" s="8">
        <f t="shared" si="1"/>
        <v>42369</v>
      </c>
    </row>
    <row r="170" ht="15.75" customHeight="1">
      <c r="A170" s="2">
        <v>2016.0</v>
      </c>
      <c r="B170" s="2">
        <v>2015.0</v>
      </c>
      <c r="C170" s="2">
        <v>12.0</v>
      </c>
      <c r="D170" s="2">
        <v>19.0</v>
      </c>
      <c r="E170" s="2" t="s">
        <v>344</v>
      </c>
      <c r="H170" s="2" t="s">
        <v>17</v>
      </c>
      <c r="I170" s="2" t="s">
        <v>77</v>
      </c>
      <c r="J170" s="1">
        <v>47.4395</v>
      </c>
      <c r="K170" s="1">
        <v>-121.3841</v>
      </c>
      <c r="L170" s="2" t="s">
        <v>24</v>
      </c>
      <c r="M170" s="2" t="s">
        <v>25</v>
      </c>
      <c r="N170" s="2">
        <v>1.0</v>
      </c>
      <c r="O170" s="1" t="s">
        <v>185</v>
      </c>
      <c r="P170" s="8">
        <f t="shared" si="1"/>
        <v>42357</v>
      </c>
    </row>
    <row r="171" ht="15.75" customHeight="1">
      <c r="A171" s="2">
        <v>2016.0</v>
      </c>
      <c r="B171" s="2">
        <v>2015.0</v>
      </c>
      <c r="C171" s="2">
        <v>12.0</v>
      </c>
      <c r="D171" s="2">
        <v>19.0</v>
      </c>
      <c r="E171" s="2" t="s">
        <v>345</v>
      </c>
      <c r="H171" s="2" t="s">
        <v>17</v>
      </c>
      <c r="I171" s="2" t="s">
        <v>85</v>
      </c>
      <c r="J171" s="1">
        <v>45.0719</v>
      </c>
      <c r="K171" s="1">
        <v>-109.92765</v>
      </c>
      <c r="L171" s="2" t="s">
        <v>45</v>
      </c>
      <c r="M171" s="2" t="s">
        <v>46</v>
      </c>
      <c r="N171" s="2">
        <v>1.0</v>
      </c>
      <c r="O171" s="1" t="s">
        <v>346</v>
      </c>
      <c r="P171" s="8">
        <f t="shared" si="1"/>
        <v>42357</v>
      </c>
    </row>
    <row r="172" ht="15.75" customHeight="1">
      <c r="A172" s="2">
        <v>2016.0</v>
      </c>
      <c r="B172" s="2">
        <v>2015.0</v>
      </c>
      <c r="C172" s="2">
        <v>11.0</v>
      </c>
      <c r="D172" s="2">
        <v>22.0</v>
      </c>
      <c r="E172" s="2" t="s">
        <v>347</v>
      </c>
      <c r="H172" s="2" t="s">
        <v>17</v>
      </c>
      <c r="I172" s="2" t="s">
        <v>28</v>
      </c>
      <c r="J172" s="1">
        <v>61.78027</v>
      </c>
      <c r="K172" s="1">
        <v>-149.289121</v>
      </c>
      <c r="L172" s="2" t="s">
        <v>24</v>
      </c>
      <c r="N172" s="2">
        <v>1.0</v>
      </c>
      <c r="O172" s="1" t="s">
        <v>36</v>
      </c>
      <c r="P172" s="8">
        <f t="shared" si="1"/>
        <v>42330</v>
      </c>
    </row>
    <row r="173" ht="15.75" customHeight="1">
      <c r="A173" s="2">
        <v>2016.0</v>
      </c>
      <c r="B173" s="2">
        <v>2015.0</v>
      </c>
      <c r="C173" s="2">
        <v>11.0</v>
      </c>
      <c r="D173" s="2">
        <v>5.0</v>
      </c>
      <c r="E173" s="2" t="s">
        <v>348</v>
      </c>
      <c r="H173" s="2" t="s">
        <v>17</v>
      </c>
      <c r="I173" s="2" t="s">
        <v>18</v>
      </c>
      <c r="J173" s="1">
        <v>36.59012</v>
      </c>
      <c r="K173" s="1">
        <v>-118.29052</v>
      </c>
      <c r="L173" s="2" t="s">
        <v>19</v>
      </c>
      <c r="M173" s="2" t="s">
        <v>20</v>
      </c>
      <c r="N173" s="2">
        <v>1.0</v>
      </c>
      <c r="O173" s="1" t="s">
        <v>349</v>
      </c>
      <c r="P173" s="8">
        <f t="shared" si="1"/>
        <v>42313</v>
      </c>
    </row>
    <row r="174" ht="15.75" customHeight="1">
      <c r="A174" s="2">
        <v>2015.0</v>
      </c>
      <c r="B174" s="2">
        <v>2015.0</v>
      </c>
      <c r="C174" s="2">
        <v>5.0</v>
      </c>
      <c r="D174" s="2">
        <v>17.0</v>
      </c>
      <c r="E174" s="2" t="s">
        <v>350</v>
      </c>
      <c r="H174" s="2" t="s">
        <v>17</v>
      </c>
      <c r="I174" s="2" t="s">
        <v>74</v>
      </c>
      <c r="J174" s="1">
        <v>43.840977</v>
      </c>
      <c r="K174" s="1">
        <v>-110.76783</v>
      </c>
      <c r="L174" s="2" t="s">
        <v>24</v>
      </c>
      <c r="M174" s="2" t="s">
        <v>25</v>
      </c>
      <c r="N174" s="2">
        <v>2.0</v>
      </c>
      <c r="O174" s="1" t="s">
        <v>351</v>
      </c>
      <c r="P174" s="8">
        <f t="shared" si="1"/>
        <v>42141</v>
      </c>
    </row>
    <row r="175" ht="15.75" customHeight="1">
      <c r="A175" s="2">
        <v>2015.0</v>
      </c>
      <c r="B175" s="2">
        <v>2015.0</v>
      </c>
      <c r="C175" s="2">
        <v>4.0</v>
      </c>
      <c r="D175" s="2">
        <v>11.0</v>
      </c>
      <c r="E175" s="2" t="s">
        <v>352</v>
      </c>
      <c r="H175" s="2" t="s">
        <v>17</v>
      </c>
      <c r="I175" s="2" t="s">
        <v>85</v>
      </c>
      <c r="J175" s="1">
        <v>45.34349</v>
      </c>
      <c r="K175" s="1">
        <v>-111.39699</v>
      </c>
      <c r="L175" s="2" t="s">
        <v>24</v>
      </c>
      <c r="M175" s="2" t="s">
        <v>25</v>
      </c>
      <c r="N175" s="2">
        <v>1.0</v>
      </c>
      <c r="O175" s="1" t="s">
        <v>185</v>
      </c>
      <c r="P175" s="8">
        <f t="shared" si="1"/>
        <v>42105</v>
      </c>
    </row>
    <row r="176" ht="15.75" customHeight="1">
      <c r="A176" s="2">
        <v>2015.0</v>
      </c>
      <c r="B176" s="2">
        <v>2015.0</v>
      </c>
      <c r="C176" s="2">
        <v>4.0</v>
      </c>
      <c r="D176" s="2">
        <v>1.0</v>
      </c>
      <c r="E176" s="1" t="s">
        <v>353</v>
      </c>
      <c r="H176" s="2" t="s">
        <v>17</v>
      </c>
      <c r="I176" s="2" t="s">
        <v>28</v>
      </c>
      <c r="J176" s="1">
        <v>61.257718</v>
      </c>
      <c r="K176" s="1">
        <v>-144.316144</v>
      </c>
      <c r="L176" s="2" t="s">
        <v>24</v>
      </c>
      <c r="M176" s="2" t="s">
        <v>25</v>
      </c>
      <c r="N176" s="2">
        <v>1.0</v>
      </c>
      <c r="O176" s="1" t="s">
        <v>354</v>
      </c>
      <c r="P176" s="8">
        <f t="shared" si="1"/>
        <v>42095</v>
      </c>
    </row>
    <row r="177" ht="15.75" customHeight="1">
      <c r="A177" s="2">
        <v>2015.0</v>
      </c>
      <c r="B177" s="2">
        <v>2015.0</v>
      </c>
      <c r="C177" s="2">
        <v>3.0</v>
      </c>
      <c r="D177" s="2">
        <v>14.0</v>
      </c>
      <c r="E177" s="1" t="s">
        <v>355</v>
      </c>
      <c r="H177" s="2" t="s">
        <v>17</v>
      </c>
      <c r="I177" s="2" t="s">
        <v>28</v>
      </c>
      <c r="J177" s="1">
        <v>63.236944</v>
      </c>
      <c r="K177" s="1">
        <v>-149.298611</v>
      </c>
      <c r="L177" s="2" t="s">
        <v>45</v>
      </c>
      <c r="M177" s="2" t="s">
        <v>20</v>
      </c>
      <c r="N177" s="2">
        <v>1.0</v>
      </c>
      <c r="O177" s="1" t="s">
        <v>356</v>
      </c>
      <c r="P177" s="8">
        <f t="shared" si="1"/>
        <v>42077</v>
      </c>
    </row>
    <row r="178" ht="15.75" customHeight="1">
      <c r="A178" s="2">
        <v>2015.0</v>
      </c>
      <c r="B178" s="2">
        <v>2015.0</v>
      </c>
      <c r="C178" s="2">
        <v>3.0</v>
      </c>
      <c r="D178" s="2">
        <v>4.0</v>
      </c>
      <c r="E178" s="2" t="s">
        <v>357</v>
      </c>
      <c r="H178" s="2" t="s">
        <v>17</v>
      </c>
      <c r="I178" s="2" t="s">
        <v>40</v>
      </c>
      <c r="J178" s="1">
        <v>41.20948</v>
      </c>
      <c r="K178" s="1">
        <v>-111.88039</v>
      </c>
      <c r="L178" s="2" t="s">
        <v>51</v>
      </c>
      <c r="M178" s="2" t="s">
        <v>60</v>
      </c>
      <c r="N178" s="2">
        <v>1.0</v>
      </c>
      <c r="O178" s="1" t="s">
        <v>171</v>
      </c>
      <c r="P178" s="8">
        <f t="shared" si="1"/>
        <v>42067</v>
      </c>
    </row>
    <row r="179" ht="15.75" customHeight="1">
      <c r="A179" s="2">
        <v>2015.0</v>
      </c>
      <c r="B179" s="2">
        <v>2015.0</v>
      </c>
      <c r="C179" s="2">
        <v>2.0</v>
      </c>
      <c r="D179" s="2">
        <v>23.0</v>
      </c>
      <c r="E179" s="2" t="s">
        <v>358</v>
      </c>
      <c r="H179" s="2" t="s">
        <v>17</v>
      </c>
      <c r="I179" s="2" t="s">
        <v>35</v>
      </c>
      <c r="J179" s="1">
        <v>39.16365</v>
      </c>
      <c r="K179" s="1">
        <v>-106.83021</v>
      </c>
      <c r="L179" s="2" t="s">
        <v>51</v>
      </c>
      <c r="M179" s="2" t="s">
        <v>25</v>
      </c>
      <c r="N179" s="2">
        <v>1.0</v>
      </c>
      <c r="O179" s="1" t="s">
        <v>171</v>
      </c>
      <c r="P179" s="8">
        <f t="shared" si="1"/>
        <v>42058</v>
      </c>
    </row>
    <row r="180" ht="15.75" customHeight="1">
      <c r="A180" s="2">
        <v>2015.0</v>
      </c>
      <c r="B180" s="2">
        <v>2015.0</v>
      </c>
      <c r="C180" s="2">
        <v>1.0</v>
      </c>
      <c r="D180" s="2">
        <v>6.0</v>
      </c>
      <c r="E180" s="2" t="s">
        <v>359</v>
      </c>
      <c r="H180" s="2" t="s">
        <v>17</v>
      </c>
      <c r="I180" s="2" t="s">
        <v>35</v>
      </c>
      <c r="J180" s="1">
        <v>37.80219</v>
      </c>
      <c r="K180" s="1">
        <v>-107.65048</v>
      </c>
      <c r="L180" s="2" t="s">
        <v>24</v>
      </c>
      <c r="M180" s="2" t="s">
        <v>25</v>
      </c>
      <c r="N180" s="2">
        <v>1.0</v>
      </c>
      <c r="O180" s="1" t="s">
        <v>360</v>
      </c>
      <c r="P180" s="8">
        <f t="shared" si="1"/>
        <v>42010</v>
      </c>
    </row>
    <row r="181" ht="15.75" customHeight="1">
      <c r="A181" s="2">
        <v>2015.0</v>
      </c>
      <c r="B181" s="2">
        <v>2014.0</v>
      </c>
      <c r="C181" s="2">
        <v>12.0</v>
      </c>
      <c r="D181" s="2">
        <v>31.0</v>
      </c>
      <c r="E181" s="2" t="s">
        <v>361</v>
      </c>
      <c r="H181" s="2" t="s">
        <v>17</v>
      </c>
      <c r="I181" s="2" t="s">
        <v>35</v>
      </c>
      <c r="J181" s="1">
        <v>39.65381</v>
      </c>
      <c r="K181" s="1">
        <v>-105.79688</v>
      </c>
      <c r="L181" s="2" t="s">
        <v>29</v>
      </c>
      <c r="M181" s="2" t="s">
        <v>103</v>
      </c>
      <c r="N181" s="2">
        <v>1.0</v>
      </c>
      <c r="O181" s="1" t="s">
        <v>362</v>
      </c>
      <c r="P181" s="8">
        <f t="shared" si="1"/>
        <v>42004</v>
      </c>
    </row>
    <row r="182" ht="15.75" customHeight="1">
      <c r="A182" s="2">
        <v>2015.0</v>
      </c>
      <c r="B182" s="2">
        <v>2014.0</v>
      </c>
      <c r="C182" s="2">
        <v>12.0</v>
      </c>
      <c r="D182" s="2">
        <v>6.0</v>
      </c>
      <c r="E182" s="2" t="s">
        <v>363</v>
      </c>
      <c r="H182" s="2" t="s">
        <v>17</v>
      </c>
      <c r="I182" s="2" t="s">
        <v>28</v>
      </c>
      <c r="J182" s="1">
        <v>63.30806</v>
      </c>
      <c r="K182" s="1">
        <v>-145.68832</v>
      </c>
      <c r="L182" s="2" t="s">
        <v>24</v>
      </c>
      <c r="M182" s="2" t="s">
        <v>25</v>
      </c>
      <c r="N182" s="2">
        <v>1.0</v>
      </c>
      <c r="O182" s="1" t="s">
        <v>364</v>
      </c>
      <c r="P182" s="8">
        <f t="shared" si="1"/>
        <v>41979</v>
      </c>
    </row>
    <row r="183" ht="15.75" customHeight="1">
      <c r="A183" s="2">
        <v>2015.0</v>
      </c>
      <c r="B183" s="2">
        <v>2014.0</v>
      </c>
      <c r="C183" s="2">
        <v>11.0</v>
      </c>
      <c r="D183" s="2">
        <v>26.0</v>
      </c>
      <c r="E183" s="2" t="s">
        <v>365</v>
      </c>
      <c r="H183" s="2" t="s">
        <v>17</v>
      </c>
      <c r="I183" s="2" t="s">
        <v>85</v>
      </c>
      <c r="J183" s="1">
        <v>45.03989</v>
      </c>
      <c r="K183" s="1">
        <v>-109.94394</v>
      </c>
      <c r="L183" s="2" t="s">
        <v>45</v>
      </c>
      <c r="M183" s="2" t="s">
        <v>46</v>
      </c>
      <c r="N183" s="2">
        <v>1.0</v>
      </c>
      <c r="O183" s="1" t="s">
        <v>366</v>
      </c>
      <c r="P183" s="8">
        <f t="shared" si="1"/>
        <v>41969</v>
      </c>
    </row>
    <row r="184" ht="15.75" customHeight="1">
      <c r="A184" s="2">
        <v>2014.0</v>
      </c>
      <c r="B184" s="2">
        <v>2014.0</v>
      </c>
      <c r="C184" s="2">
        <v>5.0</v>
      </c>
      <c r="D184" s="2">
        <v>28.0</v>
      </c>
      <c r="E184" s="2" t="s">
        <v>367</v>
      </c>
      <c r="H184" s="2" t="s">
        <v>17</v>
      </c>
      <c r="I184" s="2" t="s">
        <v>77</v>
      </c>
      <c r="J184" s="1">
        <v>46.85409</v>
      </c>
      <c r="K184" s="1">
        <v>-121.75873</v>
      </c>
      <c r="L184" s="2" t="s">
        <v>29</v>
      </c>
      <c r="M184" s="2" t="s">
        <v>20</v>
      </c>
      <c r="N184" s="2">
        <v>6.0</v>
      </c>
      <c r="O184" s="1" t="s">
        <v>368</v>
      </c>
      <c r="P184" s="8">
        <f t="shared" si="1"/>
        <v>41787</v>
      </c>
    </row>
    <row r="185" ht="15.75" customHeight="1">
      <c r="A185" s="2">
        <v>2014.0</v>
      </c>
      <c r="B185" s="2">
        <v>2014.0</v>
      </c>
      <c r="C185" s="2">
        <v>5.0</v>
      </c>
      <c r="D185" s="2">
        <v>14.0</v>
      </c>
      <c r="E185" s="2" t="s">
        <v>369</v>
      </c>
      <c r="H185" s="2" t="s">
        <v>17</v>
      </c>
      <c r="I185" s="2" t="s">
        <v>77</v>
      </c>
      <c r="J185" s="1">
        <v>48.83072</v>
      </c>
      <c r="K185" s="1">
        <v>-121.60287</v>
      </c>
      <c r="L185" s="2" t="s">
        <v>24</v>
      </c>
      <c r="M185" s="2" t="s">
        <v>20</v>
      </c>
      <c r="N185" s="2">
        <v>1.0</v>
      </c>
      <c r="O185" s="1" t="s">
        <v>370</v>
      </c>
      <c r="P185" s="8">
        <f t="shared" si="1"/>
        <v>41773</v>
      </c>
    </row>
    <row r="186" ht="15.75" customHeight="1">
      <c r="A186" s="2">
        <v>2014.0</v>
      </c>
      <c r="B186" s="2">
        <v>2014.0</v>
      </c>
      <c r="C186" s="2">
        <v>5.0</v>
      </c>
      <c r="D186" s="2">
        <v>3.0</v>
      </c>
      <c r="E186" s="2" t="s">
        <v>371</v>
      </c>
      <c r="H186" s="2" t="s">
        <v>17</v>
      </c>
      <c r="I186" s="2" t="s">
        <v>85</v>
      </c>
      <c r="J186" s="1">
        <v>46.16521</v>
      </c>
      <c r="K186" s="1">
        <v>-113.08846</v>
      </c>
      <c r="L186" s="2" t="s">
        <v>24</v>
      </c>
      <c r="M186" s="2" t="s">
        <v>25</v>
      </c>
      <c r="N186" s="2">
        <v>1.0</v>
      </c>
      <c r="O186" s="1" t="s">
        <v>372</v>
      </c>
      <c r="P186" s="8">
        <f t="shared" si="1"/>
        <v>41762</v>
      </c>
    </row>
    <row r="187" ht="15.75" customHeight="1">
      <c r="A187" s="2">
        <v>2014.0</v>
      </c>
      <c r="B187" s="2">
        <v>2014.0</v>
      </c>
      <c r="C187" s="2">
        <v>4.0</v>
      </c>
      <c r="D187" s="2">
        <v>28.0</v>
      </c>
      <c r="E187" s="2" t="s">
        <v>373</v>
      </c>
      <c r="H187" s="2" t="s">
        <v>17</v>
      </c>
      <c r="I187" s="2" t="s">
        <v>59</v>
      </c>
      <c r="J187" s="1">
        <v>42.94208</v>
      </c>
      <c r="K187" s="1">
        <v>-122.10402</v>
      </c>
      <c r="L187" s="2" t="s">
        <v>19</v>
      </c>
      <c r="M187" s="2" t="s">
        <v>103</v>
      </c>
      <c r="N187" s="2">
        <v>1.0</v>
      </c>
      <c r="O187" s="1" t="s">
        <v>374</v>
      </c>
      <c r="P187" s="8">
        <f t="shared" si="1"/>
        <v>41757</v>
      </c>
    </row>
    <row r="188" ht="15.75" customHeight="1">
      <c r="A188" s="2">
        <v>2014.0</v>
      </c>
      <c r="B188" s="2">
        <v>2014.0</v>
      </c>
      <c r="C188" s="2">
        <v>4.0</v>
      </c>
      <c r="D188" s="2">
        <v>14.0</v>
      </c>
      <c r="E188" s="2" t="s">
        <v>57</v>
      </c>
      <c r="H188" s="2" t="s">
        <v>17</v>
      </c>
      <c r="I188" s="2" t="s">
        <v>59</v>
      </c>
      <c r="J188" s="1">
        <v>43.72534</v>
      </c>
      <c r="K188" s="1">
        <v>-121.23121</v>
      </c>
      <c r="L188" s="2" t="s">
        <v>45</v>
      </c>
      <c r="M188" s="2" t="s">
        <v>46</v>
      </c>
      <c r="N188" s="2">
        <v>1.0</v>
      </c>
      <c r="O188" s="1" t="s">
        <v>47</v>
      </c>
      <c r="P188" s="8">
        <f t="shared" si="1"/>
        <v>41743</v>
      </c>
    </row>
    <row r="189" ht="15.75" customHeight="1">
      <c r="A189" s="2">
        <v>2014.0</v>
      </c>
      <c r="B189" s="2">
        <v>2014.0</v>
      </c>
      <c r="C189" s="2">
        <v>4.0</v>
      </c>
      <c r="D189" s="2">
        <v>3.0</v>
      </c>
      <c r="E189" s="2" t="s">
        <v>375</v>
      </c>
      <c r="H189" s="2" t="s">
        <v>17</v>
      </c>
      <c r="I189" s="2" t="s">
        <v>77</v>
      </c>
      <c r="J189" s="1">
        <v>47.42995</v>
      </c>
      <c r="K189" s="1">
        <v>-121.63033</v>
      </c>
      <c r="L189" s="2" t="s">
        <v>24</v>
      </c>
      <c r="M189" s="2" t="s">
        <v>25</v>
      </c>
      <c r="N189" s="2">
        <v>1.0</v>
      </c>
      <c r="O189" s="1" t="s">
        <v>36</v>
      </c>
      <c r="P189" s="8">
        <f t="shared" si="1"/>
        <v>41732</v>
      </c>
    </row>
    <row r="190" ht="15.75" customHeight="1">
      <c r="A190" s="2">
        <v>2014.0</v>
      </c>
      <c r="B190" s="2">
        <v>2014.0</v>
      </c>
      <c r="C190" s="2">
        <v>3.0</v>
      </c>
      <c r="D190" s="2">
        <v>19.0</v>
      </c>
      <c r="E190" s="2" t="s">
        <v>376</v>
      </c>
      <c r="H190" s="2" t="s">
        <v>17</v>
      </c>
      <c r="I190" s="2" t="s">
        <v>28</v>
      </c>
      <c r="J190" s="1">
        <v>59.174833</v>
      </c>
      <c r="K190" s="1">
        <v>-135.94405</v>
      </c>
      <c r="L190" s="2" t="s">
        <v>217</v>
      </c>
      <c r="M190" s="2" t="s">
        <v>25</v>
      </c>
      <c r="N190" s="2">
        <v>1.0</v>
      </c>
      <c r="O190" s="1" t="s">
        <v>377</v>
      </c>
      <c r="P190" s="8">
        <f t="shared" si="1"/>
        <v>41717</v>
      </c>
    </row>
    <row r="191" ht="15.75" customHeight="1">
      <c r="A191" s="2">
        <v>2014.0</v>
      </c>
      <c r="B191" s="2">
        <v>2014.0</v>
      </c>
      <c r="C191" s="2">
        <v>3.0</v>
      </c>
      <c r="D191" s="2">
        <v>11.0</v>
      </c>
      <c r="E191" s="2" t="s">
        <v>378</v>
      </c>
      <c r="H191" s="2" t="s">
        <v>17</v>
      </c>
      <c r="I191" s="2" t="s">
        <v>85</v>
      </c>
      <c r="J191" s="1">
        <v>45.04988</v>
      </c>
      <c r="K191" s="1">
        <v>-109.96267</v>
      </c>
      <c r="L191" s="2" t="s">
        <v>45</v>
      </c>
      <c r="M191" s="2" t="s">
        <v>46</v>
      </c>
      <c r="N191" s="2">
        <v>1.0</v>
      </c>
      <c r="O191" s="1" t="s">
        <v>47</v>
      </c>
      <c r="P191" s="8">
        <f t="shared" si="1"/>
        <v>41709</v>
      </c>
    </row>
    <row r="192" ht="15.75" customHeight="1">
      <c r="A192" s="2">
        <v>2014.0</v>
      </c>
      <c r="B192" s="2">
        <v>2014.0</v>
      </c>
      <c r="C192" s="2">
        <v>3.0</v>
      </c>
      <c r="D192" s="2">
        <v>10.0</v>
      </c>
      <c r="E192" s="2" t="s">
        <v>379</v>
      </c>
      <c r="H192" s="2" t="s">
        <v>17</v>
      </c>
      <c r="I192" s="2" t="s">
        <v>85</v>
      </c>
      <c r="J192" s="1">
        <v>46.22165</v>
      </c>
      <c r="K192" s="1">
        <v>-113.1427</v>
      </c>
      <c r="L192" s="2" t="s">
        <v>24</v>
      </c>
      <c r="M192" s="2" t="s">
        <v>25</v>
      </c>
      <c r="N192" s="2">
        <v>1.0</v>
      </c>
      <c r="O192" s="1" t="s">
        <v>269</v>
      </c>
      <c r="P192" s="8">
        <f t="shared" si="1"/>
        <v>41708</v>
      </c>
    </row>
    <row r="193" ht="15.75" customHeight="1">
      <c r="A193" s="2">
        <v>2014.0</v>
      </c>
      <c r="B193" s="2">
        <v>2014.0</v>
      </c>
      <c r="C193" s="2">
        <v>3.0</v>
      </c>
      <c r="D193" s="2">
        <v>7.0</v>
      </c>
      <c r="E193" s="2" t="s">
        <v>380</v>
      </c>
      <c r="H193" s="2" t="s">
        <v>17</v>
      </c>
      <c r="I193" s="2" t="s">
        <v>40</v>
      </c>
      <c r="J193" s="1">
        <v>40.81277</v>
      </c>
      <c r="K193" s="1">
        <v>-110.89685</v>
      </c>
      <c r="L193" s="2" t="s">
        <v>45</v>
      </c>
      <c r="M193" s="2" t="s">
        <v>46</v>
      </c>
      <c r="N193" s="2">
        <v>1.0</v>
      </c>
      <c r="O193" s="1" t="s">
        <v>47</v>
      </c>
      <c r="P193" s="8">
        <f t="shared" si="1"/>
        <v>41705</v>
      </c>
    </row>
    <row r="194" ht="15.75" customHeight="1">
      <c r="A194" s="2">
        <v>2014.0</v>
      </c>
      <c r="B194" s="2">
        <v>2014.0</v>
      </c>
      <c r="C194" s="2">
        <v>3.0</v>
      </c>
      <c r="D194" s="2">
        <v>5.0</v>
      </c>
      <c r="E194" s="2" t="s">
        <v>381</v>
      </c>
      <c r="H194" s="2" t="s">
        <v>17</v>
      </c>
      <c r="I194" s="2" t="s">
        <v>35</v>
      </c>
      <c r="J194" s="1">
        <v>37.46096</v>
      </c>
      <c r="K194" s="1">
        <v>-108.0689</v>
      </c>
      <c r="L194" s="2" t="s">
        <v>45</v>
      </c>
      <c r="M194" s="2" t="s">
        <v>46</v>
      </c>
      <c r="N194" s="2">
        <v>1.0</v>
      </c>
      <c r="O194" s="1" t="s">
        <v>382</v>
      </c>
      <c r="P194" s="8">
        <f t="shared" si="1"/>
        <v>41703</v>
      </c>
    </row>
    <row r="195" ht="15.75" customHeight="1">
      <c r="A195" s="2">
        <v>2014.0</v>
      </c>
      <c r="B195" s="2">
        <v>2014.0</v>
      </c>
      <c r="C195" s="2">
        <v>3.0</v>
      </c>
      <c r="D195" s="2">
        <v>4.0</v>
      </c>
      <c r="E195" s="2" t="s">
        <v>383</v>
      </c>
      <c r="H195" s="2" t="s">
        <v>17</v>
      </c>
      <c r="I195" s="2" t="s">
        <v>35</v>
      </c>
      <c r="J195" s="1">
        <v>37.29154</v>
      </c>
      <c r="K195" s="1">
        <v>-106.56876</v>
      </c>
      <c r="L195" s="2" t="s">
        <v>384</v>
      </c>
      <c r="M195" s="2" t="s">
        <v>25</v>
      </c>
      <c r="N195" s="2">
        <v>1.0</v>
      </c>
      <c r="O195" s="1" t="s">
        <v>382</v>
      </c>
      <c r="P195" s="8">
        <f t="shared" si="1"/>
        <v>41702</v>
      </c>
    </row>
    <row r="196" ht="15.75" customHeight="1">
      <c r="A196" s="2">
        <v>2014.0</v>
      </c>
      <c r="B196" s="2">
        <v>2014.0</v>
      </c>
      <c r="C196" s="2">
        <v>2.0</v>
      </c>
      <c r="D196" s="2">
        <v>28.0</v>
      </c>
      <c r="E196" s="2" t="s">
        <v>385</v>
      </c>
      <c r="H196" s="2" t="s">
        <v>39</v>
      </c>
      <c r="I196" s="2" t="s">
        <v>85</v>
      </c>
      <c r="J196" s="1">
        <v>46.8785</v>
      </c>
      <c r="K196" s="1">
        <v>-113.95603</v>
      </c>
      <c r="L196" s="2" t="s">
        <v>41</v>
      </c>
      <c r="M196" s="2" t="s">
        <v>20</v>
      </c>
      <c r="N196" s="2">
        <v>1.0</v>
      </c>
      <c r="O196" s="1" t="s">
        <v>386</v>
      </c>
      <c r="P196" s="8">
        <f t="shared" si="1"/>
        <v>41698</v>
      </c>
    </row>
    <row r="197" ht="15.75" customHeight="1">
      <c r="A197" s="2">
        <v>2014.0</v>
      </c>
      <c r="B197" s="2">
        <v>2014.0</v>
      </c>
      <c r="C197" s="2">
        <v>2.0</v>
      </c>
      <c r="D197" s="2">
        <v>22.0</v>
      </c>
      <c r="E197" s="2" t="s">
        <v>387</v>
      </c>
      <c r="H197" s="2" t="s">
        <v>17</v>
      </c>
      <c r="I197" s="2" t="s">
        <v>85</v>
      </c>
      <c r="J197" s="1">
        <v>48.24066</v>
      </c>
      <c r="K197" s="1">
        <v>-116.0307</v>
      </c>
      <c r="L197" s="2" t="s">
        <v>45</v>
      </c>
      <c r="M197" s="2" t="s">
        <v>46</v>
      </c>
      <c r="N197" s="2">
        <v>1.0</v>
      </c>
      <c r="O197" s="1" t="s">
        <v>388</v>
      </c>
      <c r="P197" s="8">
        <f t="shared" si="1"/>
        <v>41692</v>
      </c>
    </row>
    <row r="198" ht="15.75" customHeight="1">
      <c r="A198" s="2">
        <v>2014.0</v>
      </c>
      <c r="B198" s="2">
        <v>2014.0</v>
      </c>
      <c r="C198" s="2">
        <v>2.0</v>
      </c>
      <c r="D198" s="2">
        <v>18.0</v>
      </c>
      <c r="E198" s="2" t="s">
        <v>389</v>
      </c>
      <c r="H198" s="2" t="s">
        <v>17</v>
      </c>
      <c r="I198" s="2" t="s">
        <v>74</v>
      </c>
      <c r="J198" s="1">
        <v>43.75188</v>
      </c>
      <c r="K198" s="1">
        <v>-110.06799</v>
      </c>
      <c r="L198" s="2" t="s">
        <v>45</v>
      </c>
      <c r="M198" s="2" t="s">
        <v>46</v>
      </c>
      <c r="N198" s="2">
        <v>1.0</v>
      </c>
      <c r="O198" s="1" t="s">
        <v>47</v>
      </c>
      <c r="P198" s="8">
        <f t="shared" si="1"/>
        <v>41688</v>
      </c>
    </row>
    <row r="199" ht="15.75" customHeight="1">
      <c r="A199" s="2">
        <v>2014.0</v>
      </c>
      <c r="B199" s="2">
        <v>2014.0</v>
      </c>
      <c r="C199" s="2">
        <v>2.0</v>
      </c>
      <c r="D199" s="1">
        <v>16.0</v>
      </c>
      <c r="E199" s="2" t="s">
        <v>390</v>
      </c>
      <c r="H199" s="2" t="s">
        <v>17</v>
      </c>
      <c r="I199" s="2" t="s">
        <v>49</v>
      </c>
      <c r="J199" s="1">
        <v>43.87049</v>
      </c>
      <c r="K199" s="1">
        <v>-114.71289</v>
      </c>
      <c r="L199" s="2" t="s">
        <v>45</v>
      </c>
      <c r="M199" s="2" t="s">
        <v>20</v>
      </c>
      <c r="N199" s="2">
        <v>1.0</v>
      </c>
      <c r="O199" s="1" t="s">
        <v>391</v>
      </c>
      <c r="P199" s="8">
        <f t="shared" si="1"/>
        <v>41686</v>
      </c>
    </row>
    <row r="200" ht="15.75" customHeight="1">
      <c r="A200" s="2">
        <v>2014.0</v>
      </c>
      <c r="B200" s="2">
        <v>2014.0</v>
      </c>
      <c r="C200" s="2">
        <v>2.0</v>
      </c>
      <c r="D200" s="2">
        <v>15.0</v>
      </c>
      <c r="E200" s="2" t="s">
        <v>392</v>
      </c>
      <c r="H200" s="2" t="s">
        <v>17</v>
      </c>
      <c r="I200" s="2" t="s">
        <v>35</v>
      </c>
      <c r="J200" s="1">
        <v>39.0601</v>
      </c>
      <c r="K200" s="1">
        <v>-106.52531</v>
      </c>
      <c r="L200" s="2" t="s">
        <v>24</v>
      </c>
      <c r="M200" s="2" t="s">
        <v>25</v>
      </c>
      <c r="N200" s="2">
        <v>2.0</v>
      </c>
      <c r="O200" s="1" t="s">
        <v>393</v>
      </c>
      <c r="P200" s="8">
        <f t="shared" si="1"/>
        <v>41685</v>
      </c>
    </row>
    <row r="201" ht="15.75" customHeight="1">
      <c r="A201" s="2">
        <v>2014.0</v>
      </c>
      <c r="B201" s="2">
        <v>2014.0</v>
      </c>
      <c r="C201" s="2">
        <v>2.0</v>
      </c>
      <c r="D201" s="2">
        <v>11.0</v>
      </c>
      <c r="E201" s="2" t="s">
        <v>394</v>
      </c>
      <c r="H201" s="2" t="s">
        <v>17</v>
      </c>
      <c r="I201" s="2" t="s">
        <v>59</v>
      </c>
      <c r="J201" s="1">
        <v>45.04927</v>
      </c>
      <c r="K201" s="1">
        <v>-117.24747</v>
      </c>
      <c r="L201" s="2" t="s">
        <v>395</v>
      </c>
      <c r="M201" s="2" t="s">
        <v>25</v>
      </c>
      <c r="N201" s="2">
        <v>2.0</v>
      </c>
      <c r="O201" s="1" t="s">
        <v>396</v>
      </c>
      <c r="P201" s="8">
        <f t="shared" si="1"/>
        <v>41681</v>
      </c>
    </row>
    <row r="202" ht="15.75" customHeight="1">
      <c r="A202" s="2">
        <v>2014.0</v>
      </c>
      <c r="B202" s="2">
        <v>2014.0</v>
      </c>
      <c r="C202" s="2">
        <v>2.0</v>
      </c>
      <c r="D202" s="2">
        <v>10.0</v>
      </c>
      <c r="E202" s="2" t="s">
        <v>397</v>
      </c>
      <c r="H202" s="2" t="s">
        <v>17</v>
      </c>
      <c r="I202" s="2" t="s">
        <v>35</v>
      </c>
      <c r="J202" s="1">
        <v>39.54231</v>
      </c>
      <c r="K202" s="1">
        <v>-105.90649</v>
      </c>
      <c r="L202" s="2" t="s">
        <v>51</v>
      </c>
      <c r="M202" s="2" t="s">
        <v>25</v>
      </c>
      <c r="N202" s="2">
        <v>1.0</v>
      </c>
      <c r="O202" s="1" t="s">
        <v>398</v>
      </c>
      <c r="P202" s="8">
        <f t="shared" si="1"/>
        <v>41680</v>
      </c>
    </row>
    <row r="203" ht="15.75" customHeight="1">
      <c r="A203" s="2">
        <v>2014.0</v>
      </c>
      <c r="B203" s="2">
        <v>2014.0</v>
      </c>
      <c r="C203" s="2">
        <v>2.0</v>
      </c>
      <c r="D203" s="2">
        <v>10.0</v>
      </c>
      <c r="E203" s="2" t="s">
        <v>399</v>
      </c>
      <c r="H203" s="2" t="s">
        <v>17</v>
      </c>
      <c r="I203" s="2" t="s">
        <v>40</v>
      </c>
      <c r="J203" s="1">
        <v>39.58532</v>
      </c>
      <c r="K203" s="1">
        <v>-111.26644</v>
      </c>
      <c r="L203" s="2" t="s">
        <v>45</v>
      </c>
      <c r="M203" s="2" t="s">
        <v>46</v>
      </c>
      <c r="N203" s="2">
        <v>1.0</v>
      </c>
      <c r="O203" s="1" t="s">
        <v>47</v>
      </c>
      <c r="P203" s="8">
        <f t="shared" si="1"/>
        <v>41680</v>
      </c>
    </row>
    <row r="204" ht="15.75" customHeight="1">
      <c r="A204" s="2">
        <v>2014.0</v>
      </c>
      <c r="B204" s="2">
        <v>2014.0</v>
      </c>
      <c r="C204" s="2">
        <v>2.0</v>
      </c>
      <c r="D204" s="2">
        <v>10.0</v>
      </c>
      <c r="E204" s="2" t="s">
        <v>400</v>
      </c>
      <c r="H204" s="2" t="s">
        <v>17</v>
      </c>
      <c r="I204" s="2" t="s">
        <v>35</v>
      </c>
      <c r="J204" s="1">
        <v>38.85159</v>
      </c>
      <c r="K204" s="1">
        <v>-107.0978</v>
      </c>
      <c r="L204" s="2" t="s">
        <v>45</v>
      </c>
      <c r="M204" s="2" t="s">
        <v>46</v>
      </c>
      <c r="N204" s="2">
        <v>1.0</v>
      </c>
      <c r="O204" s="1" t="s">
        <v>146</v>
      </c>
      <c r="P204" s="8">
        <f t="shared" si="1"/>
        <v>41680</v>
      </c>
    </row>
    <row r="205" ht="15.75" customHeight="1">
      <c r="A205" s="2">
        <v>2014.0</v>
      </c>
      <c r="B205" s="2">
        <v>2014.0</v>
      </c>
      <c r="C205" s="2">
        <v>2.0</v>
      </c>
      <c r="D205" s="2">
        <v>8.0</v>
      </c>
      <c r="E205" s="2" t="s">
        <v>401</v>
      </c>
      <c r="H205" s="2" t="s">
        <v>17</v>
      </c>
      <c r="I205" s="2" t="s">
        <v>40</v>
      </c>
      <c r="J205" s="1">
        <v>40.48077</v>
      </c>
      <c r="K205" s="1">
        <v>-111.64719</v>
      </c>
      <c r="L205" s="2" t="s">
        <v>402</v>
      </c>
      <c r="M205" s="2" t="s">
        <v>103</v>
      </c>
      <c r="N205" s="2">
        <v>1.0</v>
      </c>
      <c r="O205" s="1" t="s">
        <v>403</v>
      </c>
      <c r="P205" s="8">
        <f t="shared" si="1"/>
        <v>41678</v>
      </c>
    </row>
    <row r="206" ht="15.75" customHeight="1">
      <c r="A206" s="2">
        <v>2014.0</v>
      </c>
      <c r="B206" s="2">
        <v>2014.0</v>
      </c>
      <c r="C206" s="2">
        <v>1.0</v>
      </c>
      <c r="D206" s="2">
        <v>18.0</v>
      </c>
      <c r="E206" s="2" t="s">
        <v>404</v>
      </c>
      <c r="H206" s="2" t="s">
        <v>17</v>
      </c>
      <c r="I206" s="2" t="s">
        <v>77</v>
      </c>
      <c r="J206" s="1">
        <v>48.00566</v>
      </c>
      <c r="K206" s="1">
        <v>-121.46261</v>
      </c>
      <c r="L206" s="2" t="s">
        <v>29</v>
      </c>
      <c r="M206" s="2" t="s">
        <v>20</v>
      </c>
      <c r="N206" s="2">
        <v>1.0</v>
      </c>
      <c r="O206" s="1" t="s">
        <v>398</v>
      </c>
      <c r="P206" s="8">
        <f t="shared" si="1"/>
        <v>41657</v>
      </c>
    </row>
    <row r="207" ht="15.75" customHeight="1">
      <c r="A207" s="2">
        <v>2014.0</v>
      </c>
      <c r="B207" s="2">
        <v>2014.0</v>
      </c>
      <c r="C207" s="2">
        <v>1.0</v>
      </c>
      <c r="D207" s="2">
        <v>7.0</v>
      </c>
      <c r="E207" s="2" t="s">
        <v>405</v>
      </c>
      <c r="H207" s="2" t="s">
        <v>17</v>
      </c>
      <c r="I207" s="2" t="s">
        <v>35</v>
      </c>
      <c r="J207" s="1">
        <v>39.60126</v>
      </c>
      <c r="K207" s="1">
        <v>-106.30123</v>
      </c>
      <c r="L207" s="2" t="s">
        <v>51</v>
      </c>
      <c r="M207" s="2" t="s">
        <v>25</v>
      </c>
      <c r="N207" s="2">
        <v>1.0</v>
      </c>
      <c r="O207" s="1" t="s">
        <v>406</v>
      </c>
      <c r="P207" s="8">
        <f t="shared" si="1"/>
        <v>41646</v>
      </c>
    </row>
    <row r="208" ht="15.75" customHeight="1">
      <c r="A208" s="2">
        <v>2014.0</v>
      </c>
      <c r="B208" s="2">
        <v>2014.0</v>
      </c>
      <c r="C208" s="2">
        <v>1.0</v>
      </c>
      <c r="D208" s="1">
        <v>1.0</v>
      </c>
      <c r="E208" s="2" t="s">
        <v>407</v>
      </c>
      <c r="H208" s="2" t="s">
        <v>17</v>
      </c>
      <c r="I208" s="2" t="s">
        <v>85</v>
      </c>
      <c r="J208" s="1">
        <v>45.28914</v>
      </c>
      <c r="K208" s="1">
        <v>-111.39776</v>
      </c>
      <c r="L208" s="2" t="s">
        <v>45</v>
      </c>
      <c r="M208" s="2" t="s">
        <v>46</v>
      </c>
      <c r="N208" s="2">
        <v>1.0</v>
      </c>
      <c r="O208" s="1" t="s">
        <v>200</v>
      </c>
      <c r="P208" s="8">
        <f t="shared" si="1"/>
        <v>41640</v>
      </c>
    </row>
    <row r="209" ht="15.75" customHeight="1">
      <c r="A209" s="2">
        <v>2014.0</v>
      </c>
      <c r="B209" s="2">
        <v>2013.0</v>
      </c>
      <c r="C209" s="2">
        <v>12.0</v>
      </c>
      <c r="D209" s="2">
        <v>31.0</v>
      </c>
      <c r="E209" s="2" t="s">
        <v>408</v>
      </c>
      <c r="H209" s="2" t="s">
        <v>17</v>
      </c>
      <c r="I209" s="2" t="s">
        <v>35</v>
      </c>
      <c r="J209" s="1">
        <v>40.34187</v>
      </c>
      <c r="K209" s="1">
        <v>-106.11978</v>
      </c>
      <c r="L209" s="2" t="s">
        <v>24</v>
      </c>
      <c r="M209" s="2" t="s">
        <v>60</v>
      </c>
      <c r="N209" s="2">
        <v>1.0</v>
      </c>
      <c r="O209" s="1" t="s">
        <v>409</v>
      </c>
      <c r="P209" s="8">
        <f t="shared" si="1"/>
        <v>41639</v>
      </c>
    </row>
    <row r="210" ht="15.75" customHeight="1">
      <c r="A210" s="2">
        <v>2014.0</v>
      </c>
      <c r="B210" s="2">
        <v>2013.0</v>
      </c>
      <c r="C210" s="2">
        <v>12.0</v>
      </c>
      <c r="D210" s="2">
        <v>26.0</v>
      </c>
      <c r="E210" s="2" t="s">
        <v>410</v>
      </c>
      <c r="H210" s="2" t="s">
        <v>17</v>
      </c>
      <c r="I210" s="2" t="s">
        <v>74</v>
      </c>
      <c r="J210" s="1">
        <v>43.55509</v>
      </c>
      <c r="K210" s="1">
        <v>-110.83933</v>
      </c>
      <c r="L210" s="2" t="s">
        <v>51</v>
      </c>
      <c r="M210" s="2" t="s">
        <v>25</v>
      </c>
      <c r="N210" s="2">
        <v>1.0</v>
      </c>
      <c r="O210" s="1" t="s">
        <v>411</v>
      </c>
      <c r="P210" s="8">
        <f t="shared" si="1"/>
        <v>41634</v>
      </c>
    </row>
    <row r="211" ht="15.75" customHeight="1">
      <c r="A211" s="2">
        <v>2014.0</v>
      </c>
      <c r="B211" s="2">
        <v>2013.0</v>
      </c>
      <c r="C211" s="2">
        <v>12.0</v>
      </c>
      <c r="D211" s="2">
        <v>26.0</v>
      </c>
      <c r="E211" s="2" t="s">
        <v>412</v>
      </c>
      <c r="H211" s="2" t="s">
        <v>17</v>
      </c>
      <c r="I211" s="2" t="s">
        <v>49</v>
      </c>
      <c r="J211" s="1">
        <v>43.44151</v>
      </c>
      <c r="K211" s="1">
        <v>-111.08833</v>
      </c>
      <c r="L211" s="2" t="s">
        <v>45</v>
      </c>
      <c r="M211" s="2" t="s">
        <v>46</v>
      </c>
      <c r="N211" s="2">
        <v>1.0</v>
      </c>
      <c r="O211" s="1" t="s">
        <v>413</v>
      </c>
      <c r="P211" s="8">
        <f t="shared" si="1"/>
        <v>41634</v>
      </c>
    </row>
    <row r="212" ht="15.75" customHeight="1">
      <c r="A212" s="2">
        <v>2013.0</v>
      </c>
      <c r="B212" s="2">
        <v>2013.0</v>
      </c>
      <c r="C212" s="2">
        <v>4.0</v>
      </c>
      <c r="D212" s="2">
        <v>20.0</v>
      </c>
      <c r="E212" s="1" t="s">
        <v>414</v>
      </c>
      <c r="H212" s="2" t="s">
        <v>17</v>
      </c>
      <c r="I212" s="2" t="s">
        <v>35</v>
      </c>
      <c r="J212" s="1">
        <v>39.6789</v>
      </c>
      <c r="K212" s="1">
        <v>-105.86839</v>
      </c>
      <c r="L212" s="2" t="s">
        <v>24</v>
      </c>
      <c r="M212" s="2" t="s">
        <v>60</v>
      </c>
      <c r="N212" s="2">
        <v>5.0</v>
      </c>
      <c r="O212" s="1" t="s">
        <v>415</v>
      </c>
      <c r="P212" s="8">
        <f t="shared" si="1"/>
        <v>41384</v>
      </c>
    </row>
    <row r="213" ht="15.75" customHeight="1">
      <c r="A213" s="2">
        <v>2013.0</v>
      </c>
      <c r="B213" s="2">
        <v>2013.0</v>
      </c>
      <c r="C213" s="2">
        <v>4.0</v>
      </c>
      <c r="D213" s="2">
        <v>18.0</v>
      </c>
      <c r="E213" s="1" t="s">
        <v>416</v>
      </c>
      <c r="H213" s="2" t="s">
        <v>17</v>
      </c>
      <c r="I213" s="2" t="s">
        <v>35</v>
      </c>
      <c r="J213" s="1">
        <v>39.49593</v>
      </c>
      <c r="K213" s="1">
        <v>-106.26114</v>
      </c>
      <c r="L213" s="2" t="s">
        <v>118</v>
      </c>
      <c r="M213" s="2" t="s">
        <v>60</v>
      </c>
      <c r="N213" s="2">
        <v>1.0</v>
      </c>
      <c r="O213" s="1" t="s">
        <v>417</v>
      </c>
      <c r="P213" s="8">
        <f t="shared" si="1"/>
        <v>41382</v>
      </c>
    </row>
    <row r="214" ht="15.75" customHeight="1">
      <c r="A214" s="2">
        <v>2013.0</v>
      </c>
      <c r="B214" s="2">
        <v>2013.0</v>
      </c>
      <c r="C214" s="2">
        <v>4.0</v>
      </c>
      <c r="D214" s="2">
        <v>13.0</v>
      </c>
      <c r="E214" s="1" t="s">
        <v>418</v>
      </c>
      <c r="H214" s="2" t="s">
        <v>17</v>
      </c>
      <c r="I214" s="2" t="s">
        <v>77</v>
      </c>
      <c r="J214" s="1">
        <v>47.4556</v>
      </c>
      <c r="K214" s="1">
        <v>-121.38923</v>
      </c>
      <c r="L214" s="2" t="s">
        <v>19</v>
      </c>
      <c r="M214" s="2" t="s">
        <v>103</v>
      </c>
      <c r="N214" s="2">
        <v>1.0</v>
      </c>
      <c r="O214" s="1" t="s">
        <v>417</v>
      </c>
      <c r="P214" s="8">
        <f t="shared" si="1"/>
        <v>41377</v>
      </c>
    </row>
    <row r="215" ht="15.75" customHeight="1">
      <c r="A215" s="2">
        <v>2013.0</v>
      </c>
      <c r="B215" s="2">
        <v>2013.0</v>
      </c>
      <c r="C215" s="2">
        <v>4.0</v>
      </c>
      <c r="D215" s="2">
        <v>13.0</v>
      </c>
      <c r="E215" s="2" t="s">
        <v>342</v>
      </c>
      <c r="H215" s="2" t="s">
        <v>17</v>
      </c>
      <c r="I215" s="2" t="s">
        <v>77</v>
      </c>
      <c r="J215" s="1">
        <v>47.41624</v>
      </c>
      <c r="K215" s="1">
        <v>-121.48046</v>
      </c>
      <c r="L215" s="2" t="s">
        <v>19</v>
      </c>
      <c r="M215" s="2" t="s">
        <v>103</v>
      </c>
      <c r="N215" s="2">
        <v>1.0</v>
      </c>
      <c r="O215" s="1" t="s">
        <v>419</v>
      </c>
      <c r="P215" s="8">
        <f t="shared" si="1"/>
        <v>41377</v>
      </c>
    </row>
    <row r="216" ht="15.75" customHeight="1">
      <c r="A216" s="2">
        <v>2013.0</v>
      </c>
      <c r="B216" s="2">
        <v>2013.0</v>
      </c>
      <c r="C216" s="2">
        <v>4.0</v>
      </c>
      <c r="D216" s="2">
        <v>11.0</v>
      </c>
      <c r="E216" s="1" t="s">
        <v>420</v>
      </c>
      <c r="H216" s="2" t="s">
        <v>17</v>
      </c>
      <c r="I216" s="2" t="s">
        <v>40</v>
      </c>
      <c r="J216" s="1">
        <v>40.629</v>
      </c>
      <c r="K216" s="1">
        <v>-111.666412</v>
      </c>
      <c r="L216" s="2" t="s">
        <v>421</v>
      </c>
      <c r="M216" s="2" t="s">
        <v>25</v>
      </c>
      <c r="N216" s="2">
        <v>1.0</v>
      </c>
      <c r="O216" s="1" t="s">
        <v>269</v>
      </c>
      <c r="P216" s="8">
        <f t="shared" si="1"/>
        <v>41375</v>
      </c>
    </row>
    <row r="217" ht="15.75" customHeight="1">
      <c r="A217" s="2">
        <v>2013.0</v>
      </c>
      <c r="B217" s="2">
        <v>2013.0</v>
      </c>
      <c r="C217" s="2">
        <v>3.0</v>
      </c>
      <c r="D217" s="2">
        <v>17.0</v>
      </c>
      <c r="E217" s="1" t="s">
        <v>422</v>
      </c>
      <c r="H217" s="2" t="s">
        <v>17</v>
      </c>
      <c r="I217" s="2" t="s">
        <v>35</v>
      </c>
      <c r="J217" s="1">
        <v>40.45562</v>
      </c>
      <c r="K217" s="1">
        <v>-105.67725</v>
      </c>
      <c r="L217" s="2" t="s">
        <v>29</v>
      </c>
      <c r="M217" s="2" t="s">
        <v>20</v>
      </c>
      <c r="N217" s="2">
        <v>1.0</v>
      </c>
      <c r="O217" s="1" t="s">
        <v>423</v>
      </c>
      <c r="P217" s="8">
        <f t="shared" si="1"/>
        <v>41350</v>
      </c>
    </row>
    <row r="218" ht="15.75" customHeight="1">
      <c r="A218" s="2">
        <v>2013.0</v>
      </c>
      <c r="B218" s="2">
        <v>2013.0</v>
      </c>
      <c r="C218" s="2">
        <v>3.0</v>
      </c>
      <c r="D218" s="2">
        <v>3.0</v>
      </c>
      <c r="E218" s="1" t="s">
        <v>424</v>
      </c>
      <c r="H218" s="2" t="s">
        <v>17</v>
      </c>
      <c r="I218" s="2" t="s">
        <v>28</v>
      </c>
      <c r="J218" s="1">
        <v>59.23428</v>
      </c>
      <c r="K218" s="1">
        <v>-135.44838</v>
      </c>
      <c r="L218" s="2" t="s">
        <v>425</v>
      </c>
      <c r="M218" s="2" t="s">
        <v>60</v>
      </c>
      <c r="N218" s="2">
        <v>1.0</v>
      </c>
      <c r="O218" s="1" t="s">
        <v>426</v>
      </c>
      <c r="P218" s="8">
        <f t="shared" si="1"/>
        <v>41336</v>
      </c>
    </row>
    <row r="219" ht="15.75" customHeight="1">
      <c r="A219" s="2">
        <v>2013.0</v>
      </c>
      <c r="B219" s="2">
        <v>2013.0</v>
      </c>
      <c r="C219" s="2">
        <v>3.0</v>
      </c>
      <c r="D219" s="2">
        <v>2.0</v>
      </c>
      <c r="E219" s="2" t="s">
        <v>427</v>
      </c>
      <c r="H219" s="2" t="s">
        <v>17</v>
      </c>
      <c r="I219" s="2" t="s">
        <v>35</v>
      </c>
      <c r="J219" s="1">
        <v>40.49092</v>
      </c>
      <c r="K219" s="1">
        <v>-105.89048</v>
      </c>
      <c r="L219" s="2" t="s">
        <v>24</v>
      </c>
      <c r="M219" s="2" t="s">
        <v>25</v>
      </c>
      <c r="N219" s="2">
        <v>1.0</v>
      </c>
      <c r="O219" s="1" t="s">
        <v>428</v>
      </c>
      <c r="P219" s="8">
        <f t="shared" si="1"/>
        <v>41335</v>
      </c>
    </row>
    <row r="220" ht="15.75" customHeight="1">
      <c r="A220" s="2">
        <v>2013.0</v>
      </c>
      <c r="B220" s="2">
        <v>2013.0</v>
      </c>
      <c r="C220" s="2">
        <v>3.0</v>
      </c>
      <c r="D220" s="2">
        <v>1.0</v>
      </c>
      <c r="E220" s="1" t="s">
        <v>429</v>
      </c>
      <c r="H220" s="2" t="s">
        <v>17</v>
      </c>
      <c r="I220" s="2" t="s">
        <v>74</v>
      </c>
      <c r="J220" s="1">
        <v>43.6562</v>
      </c>
      <c r="K220" s="1">
        <v>-110.83179</v>
      </c>
      <c r="L220" s="2" t="s">
        <v>24</v>
      </c>
      <c r="M220" s="2" t="s">
        <v>25</v>
      </c>
      <c r="N220" s="2">
        <v>1.0</v>
      </c>
      <c r="O220" s="1" t="s">
        <v>430</v>
      </c>
      <c r="P220" s="8">
        <f t="shared" si="1"/>
        <v>41334</v>
      </c>
    </row>
    <row r="221" ht="15.75" customHeight="1">
      <c r="A221" s="2">
        <v>2013.0</v>
      </c>
      <c r="B221" s="2">
        <v>2013.0</v>
      </c>
      <c r="C221" s="2">
        <v>3.0</v>
      </c>
      <c r="D221" s="2">
        <v>1.0</v>
      </c>
      <c r="E221" s="1" t="s">
        <v>431</v>
      </c>
      <c r="H221" s="2" t="s">
        <v>17</v>
      </c>
      <c r="I221" s="2" t="s">
        <v>166</v>
      </c>
      <c r="J221" s="1">
        <v>44.27458</v>
      </c>
      <c r="K221" s="1">
        <v>-71.28565</v>
      </c>
      <c r="L221" s="2" t="s">
        <v>29</v>
      </c>
      <c r="M221" s="2" t="s">
        <v>20</v>
      </c>
      <c r="N221" s="2">
        <v>1.0</v>
      </c>
      <c r="O221" s="1" t="s">
        <v>432</v>
      </c>
      <c r="P221" s="8">
        <f t="shared" si="1"/>
        <v>41334</v>
      </c>
    </row>
    <row r="222" ht="15.75" customHeight="1">
      <c r="A222" s="2">
        <v>2013.0</v>
      </c>
      <c r="B222" s="2">
        <v>2013.0</v>
      </c>
      <c r="C222" s="2">
        <v>3.0</v>
      </c>
      <c r="D222" s="2">
        <v>1.0</v>
      </c>
      <c r="E222" s="2" t="s">
        <v>433</v>
      </c>
      <c r="H222" s="2" t="s">
        <v>17</v>
      </c>
      <c r="I222" s="2" t="s">
        <v>40</v>
      </c>
      <c r="J222" s="1">
        <v>39.0436</v>
      </c>
      <c r="K222" s="1">
        <v>-111.519</v>
      </c>
      <c r="L222" s="2" t="s">
        <v>45</v>
      </c>
      <c r="M222" s="2" t="s">
        <v>46</v>
      </c>
      <c r="N222" s="2">
        <v>1.0</v>
      </c>
      <c r="O222" s="1" t="s">
        <v>47</v>
      </c>
      <c r="P222" s="8">
        <f t="shared" si="1"/>
        <v>41334</v>
      </c>
    </row>
    <row r="223" ht="15.75" customHeight="1">
      <c r="A223" s="2">
        <v>2013.0</v>
      </c>
      <c r="B223" s="2">
        <v>2013.0</v>
      </c>
      <c r="C223" s="2">
        <v>2.0</v>
      </c>
      <c r="D223" s="2">
        <v>2.0</v>
      </c>
      <c r="E223" s="2" t="s">
        <v>434</v>
      </c>
      <c r="H223" s="2" t="s">
        <v>17</v>
      </c>
      <c r="I223" s="2" t="s">
        <v>35</v>
      </c>
      <c r="J223" s="1">
        <v>37.89819</v>
      </c>
      <c r="K223" s="1">
        <v>-107.65301</v>
      </c>
      <c r="L223" s="2" t="s">
        <v>24</v>
      </c>
      <c r="M223" s="2" t="s">
        <v>25</v>
      </c>
      <c r="N223" s="2">
        <v>1.0</v>
      </c>
      <c r="O223" s="1" t="s">
        <v>435</v>
      </c>
      <c r="P223" s="8">
        <f t="shared" si="1"/>
        <v>41307</v>
      </c>
    </row>
    <row r="224" ht="15.75" customHeight="1">
      <c r="A224" s="2">
        <v>2013.0</v>
      </c>
      <c r="B224" s="2">
        <v>2013.0</v>
      </c>
      <c r="C224" s="2">
        <v>1.0</v>
      </c>
      <c r="D224" s="2">
        <v>27.0</v>
      </c>
      <c r="E224" s="2" t="s">
        <v>436</v>
      </c>
      <c r="H224" s="2" t="s">
        <v>17</v>
      </c>
      <c r="I224" s="2" t="s">
        <v>74</v>
      </c>
      <c r="J224" s="1">
        <v>44.03701</v>
      </c>
      <c r="K224" s="1">
        <v>-110.84518</v>
      </c>
      <c r="L224" s="2" t="s">
        <v>24</v>
      </c>
      <c r="M224" s="2" t="s">
        <v>25</v>
      </c>
      <c r="N224" s="2">
        <v>1.0</v>
      </c>
      <c r="O224" s="1" t="s">
        <v>134</v>
      </c>
      <c r="P224" s="8">
        <f t="shared" si="1"/>
        <v>41301</v>
      </c>
    </row>
    <row r="225" ht="15.75" customHeight="1">
      <c r="A225" s="2">
        <v>2013.0</v>
      </c>
      <c r="B225" s="2">
        <v>2013.0</v>
      </c>
      <c r="C225" s="2">
        <v>1.0</v>
      </c>
      <c r="D225" s="2">
        <v>27.0</v>
      </c>
      <c r="E225" s="2" t="s">
        <v>437</v>
      </c>
      <c r="H225" s="2" t="s">
        <v>17</v>
      </c>
      <c r="I225" s="2" t="s">
        <v>74</v>
      </c>
      <c r="J225" s="1">
        <v>43.16087</v>
      </c>
      <c r="K225" s="1">
        <v>-110.56993</v>
      </c>
      <c r="L225" s="2" t="s">
        <v>24</v>
      </c>
      <c r="M225" s="2" t="s">
        <v>25</v>
      </c>
      <c r="N225" s="2">
        <v>1.0</v>
      </c>
      <c r="O225" s="1" t="s">
        <v>134</v>
      </c>
      <c r="P225" s="8">
        <f t="shared" si="1"/>
        <v>41301</v>
      </c>
    </row>
    <row r="226" ht="15.75" customHeight="1">
      <c r="A226" s="2">
        <v>2013.0</v>
      </c>
      <c r="B226" s="2">
        <v>2013.0</v>
      </c>
      <c r="C226" s="2">
        <v>1.0</v>
      </c>
      <c r="D226" s="2">
        <v>18.0</v>
      </c>
      <c r="E226" s="1" t="s">
        <v>438</v>
      </c>
      <c r="H226" s="2" t="s">
        <v>17</v>
      </c>
      <c r="I226" s="2" t="s">
        <v>40</v>
      </c>
      <c r="J226" s="1">
        <v>40.48247</v>
      </c>
      <c r="K226" s="1">
        <v>-111.03127</v>
      </c>
      <c r="L226" s="2" t="s">
        <v>45</v>
      </c>
      <c r="M226" s="2" t="s">
        <v>20</v>
      </c>
      <c r="N226" s="2">
        <v>2.0</v>
      </c>
      <c r="O226" s="1" t="s">
        <v>439</v>
      </c>
      <c r="P226" s="8">
        <f t="shared" si="1"/>
        <v>41292</v>
      </c>
    </row>
    <row r="227" ht="15.75" customHeight="1">
      <c r="A227" s="2">
        <v>2013.0</v>
      </c>
      <c r="B227" s="2">
        <v>2013.0</v>
      </c>
      <c r="C227" s="2">
        <v>1.0</v>
      </c>
      <c r="D227" s="2">
        <v>13.0</v>
      </c>
      <c r="E227" s="2" t="s">
        <v>440</v>
      </c>
      <c r="H227" s="2" t="s">
        <v>17</v>
      </c>
      <c r="I227" s="2" t="s">
        <v>35</v>
      </c>
      <c r="J227" s="1">
        <v>39.04972</v>
      </c>
      <c r="K227" s="1">
        <v>-107.19519</v>
      </c>
      <c r="L227" s="2" t="s">
        <v>24</v>
      </c>
      <c r="M227" s="2" t="s">
        <v>25</v>
      </c>
      <c r="N227" s="2">
        <v>1.0</v>
      </c>
      <c r="O227" s="1" t="s">
        <v>169</v>
      </c>
      <c r="P227" s="8">
        <f t="shared" si="1"/>
        <v>41287</v>
      </c>
    </row>
    <row r="228" ht="15.75" customHeight="1">
      <c r="A228" s="2">
        <v>2013.0</v>
      </c>
      <c r="B228" s="2">
        <v>2012.0</v>
      </c>
      <c r="C228" s="2">
        <v>12.0</v>
      </c>
      <c r="D228" s="2">
        <v>30.0</v>
      </c>
      <c r="E228" s="2" t="s">
        <v>441</v>
      </c>
      <c r="H228" s="2" t="s">
        <v>196</v>
      </c>
      <c r="I228" s="2" t="s">
        <v>35</v>
      </c>
      <c r="J228" s="1">
        <v>39.17266</v>
      </c>
      <c r="K228" s="1">
        <v>-106.875</v>
      </c>
      <c r="L228" s="2" t="s">
        <v>384</v>
      </c>
      <c r="M228" s="2" t="s">
        <v>25</v>
      </c>
      <c r="N228" s="2">
        <v>1.0</v>
      </c>
      <c r="O228" s="1" t="s">
        <v>442</v>
      </c>
      <c r="P228" s="8">
        <f t="shared" si="1"/>
        <v>41273</v>
      </c>
    </row>
    <row r="229" ht="15.75" customHeight="1">
      <c r="A229" s="2">
        <v>2013.0</v>
      </c>
      <c r="B229" s="2">
        <v>2012.0</v>
      </c>
      <c r="C229" s="2">
        <v>12.0</v>
      </c>
      <c r="D229" s="2">
        <v>24.0</v>
      </c>
      <c r="E229" s="2" t="s">
        <v>443</v>
      </c>
      <c r="H229" s="2" t="s">
        <v>196</v>
      </c>
      <c r="I229" s="2" t="s">
        <v>18</v>
      </c>
      <c r="J229" s="1">
        <v>39.31763</v>
      </c>
      <c r="K229" s="1">
        <v>-120.32956</v>
      </c>
      <c r="L229" s="2" t="s">
        <v>197</v>
      </c>
      <c r="M229" s="2" t="s">
        <v>60</v>
      </c>
      <c r="N229" s="2">
        <v>1.0</v>
      </c>
      <c r="O229" s="1" t="s">
        <v>444</v>
      </c>
      <c r="P229" s="8">
        <f t="shared" si="1"/>
        <v>41267</v>
      </c>
    </row>
    <row r="230" ht="15.75" customHeight="1">
      <c r="A230" s="2">
        <v>2013.0</v>
      </c>
      <c r="B230" s="2">
        <v>2012.0</v>
      </c>
      <c r="C230" s="2">
        <v>12.0</v>
      </c>
      <c r="D230" s="2">
        <v>24.0</v>
      </c>
      <c r="E230" s="2" t="s">
        <v>445</v>
      </c>
      <c r="H230" s="2" t="s">
        <v>196</v>
      </c>
      <c r="I230" s="2" t="s">
        <v>18</v>
      </c>
      <c r="J230" s="1">
        <v>39.17845</v>
      </c>
      <c r="K230" s="1">
        <v>-120.22751</v>
      </c>
      <c r="L230" s="2" t="s">
        <v>384</v>
      </c>
      <c r="M230" s="2" t="s">
        <v>25</v>
      </c>
      <c r="N230" s="2">
        <v>1.0</v>
      </c>
      <c r="O230" s="1" t="s">
        <v>446</v>
      </c>
      <c r="P230" s="8">
        <f t="shared" si="1"/>
        <v>41267</v>
      </c>
    </row>
    <row r="231" ht="15.75" customHeight="1">
      <c r="A231" s="2">
        <v>2012.0</v>
      </c>
      <c r="B231" s="2">
        <v>2012.0</v>
      </c>
      <c r="C231" s="2">
        <v>6.0</v>
      </c>
      <c r="D231" s="2">
        <v>14.0</v>
      </c>
      <c r="E231" s="2" t="s">
        <v>447</v>
      </c>
      <c r="H231" s="2" t="s">
        <v>17</v>
      </c>
      <c r="I231" s="2" t="s">
        <v>28</v>
      </c>
      <c r="J231" s="1">
        <v>63.06973</v>
      </c>
      <c r="K231" s="1">
        <v>-151.00605</v>
      </c>
      <c r="L231" s="2" t="s">
        <v>29</v>
      </c>
      <c r="M231" s="2" t="s">
        <v>20</v>
      </c>
      <c r="N231" s="2">
        <v>4.0</v>
      </c>
      <c r="P231" s="8">
        <f t="shared" si="1"/>
        <v>41074</v>
      </c>
    </row>
    <row r="232" ht="15.75" customHeight="1">
      <c r="A232" s="2">
        <v>2012.0</v>
      </c>
      <c r="B232" s="2">
        <v>2012.0</v>
      </c>
      <c r="C232" s="2">
        <v>3.0</v>
      </c>
      <c r="D232" s="2">
        <v>30.0</v>
      </c>
      <c r="E232" s="2" t="s">
        <v>448</v>
      </c>
      <c r="H232" s="2" t="s">
        <v>17</v>
      </c>
      <c r="I232" s="2" t="s">
        <v>35</v>
      </c>
      <c r="J232" s="1">
        <v>37.84165</v>
      </c>
      <c r="K232" s="1">
        <v>-107.7812</v>
      </c>
      <c r="L232" s="2" t="s">
        <v>24</v>
      </c>
      <c r="M232" s="2" t="s">
        <v>25</v>
      </c>
      <c r="N232" s="2">
        <v>1.0</v>
      </c>
      <c r="P232" s="8">
        <f t="shared" si="1"/>
        <v>40998</v>
      </c>
    </row>
    <row r="233" ht="15.75" customHeight="1">
      <c r="A233" s="2">
        <v>2012.0</v>
      </c>
      <c r="B233" s="2">
        <v>2012.0</v>
      </c>
      <c r="C233" s="2">
        <v>3.0</v>
      </c>
      <c r="D233" s="2">
        <v>13.0</v>
      </c>
      <c r="E233" s="2" t="s">
        <v>449</v>
      </c>
      <c r="H233" s="2" t="s">
        <v>17</v>
      </c>
      <c r="I233" s="2" t="s">
        <v>28</v>
      </c>
      <c r="J233" s="1">
        <v>59.30267</v>
      </c>
      <c r="K233" s="1">
        <v>-136.0355</v>
      </c>
      <c r="L233" s="2" t="s">
        <v>217</v>
      </c>
      <c r="M233" s="2" t="s">
        <v>25</v>
      </c>
      <c r="N233" s="2">
        <v>2.0</v>
      </c>
      <c r="P233" s="8">
        <f t="shared" si="1"/>
        <v>40981</v>
      </c>
    </row>
    <row r="234" ht="15.75" customHeight="1">
      <c r="A234" s="2">
        <v>2012.0</v>
      </c>
      <c r="B234" s="2">
        <v>2012.0</v>
      </c>
      <c r="C234" s="2">
        <v>3.0</v>
      </c>
      <c r="D234" s="2">
        <v>7.0</v>
      </c>
      <c r="E234" s="2" t="s">
        <v>450</v>
      </c>
      <c r="H234" s="2" t="s">
        <v>17</v>
      </c>
      <c r="I234" s="2" t="s">
        <v>74</v>
      </c>
      <c r="J234" s="1">
        <v>43.9293</v>
      </c>
      <c r="K234" s="1">
        <v>-110.76279</v>
      </c>
      <c r="L234" s="2" t="s">
        <v>24</v>
      </c>
      <c r="M234" s="2" t="s">
        <v>25</v>
      </c>
      <c r="N234" s="2">
        <v>2.0</v>
      </c>
      <c r="P234" s="8">
        <f t="shared" si="1"/>
        <v>40975</v>
      </c>
    </row>
    <row r="235" ht="15.75" customHeight="1">
      <c r="A235" s="2">
        <v>2012.0</v>
      </c>
      <c r="B235" s="2">
        <v>2012.0</v>
      </c>
      <c r="C235" s="2">
        <v>3.0</v>
      </c>
      <c r="D235" s="2">
        <v>3.0</v>
      </c>
      <c r="E235" s="2" t="s">
        <v>451</v>
      </c>
      <c r="H235" s="2" t="s">
        <v>17</v>
      </c>
      <c r="I235" s="2" t="s">
        <v>40</v>
      </c>
      <c r="J235" s="1">
        <v>38.53887</v>
      </c>
      <c r="K235" s="1">
        <v>-109.20981</v>
      </c>
      <c r="L235" s="2" t="s">
        <v>45</v>
      </c>
      <c r="M235" s="2" t="s">
        <v>46</v>
      </c>
      <c r="N235" s="2">
        <v>1.0</v>
      </c>
      <c r="P235" s="8">
        <f t="shared" si="1"/>
        <v>40971</v>
      </c>
    </row>
    <row r="236" ht="15.75" customHeight="1">
      <c r="A236" s="2">
        <v>2012.0</v>
      </c>
      <c r="B236" s="2">
        <v>2012.0</v>
      </c>
      <c r="C236" s="2">
        <v>3.0</v>
      </c>
      <c r="D236" s="2">
        <v>2.0</v>
      </c>
      <c r="E236" s="2" t="s">
        <v>452</v>
      </c>
      <c r="H236" s="2" t="s">
        <v>17</v>
      </c>
      <c r="I236" s="2" t="s">
        <v>18</v>
      </c>
      <c r="J236" s="1">
        <v>38.6687</v>
      </c>
      <c r="K236" s="1">
        <v>-119.95553</v>
      </c>
      <c r="L236" s="2" t="s">
        <v>45</v>
      </c>
      <c r="M236" s="2" t="s">
        <v>46</v>
      </c>
      <c r="N236" s="2">
        <v>1.0</v>
      </c>
      <c r="P236" s="8">
        <f t="shared" si="1"/>
        <v>40970</v>
      </c>
    </row>
    <row r="237" ht="15.75" customHeight="1">
      <c r="A237" s="2">
        <v>2012.0</v>
      </c>
      <c r="B237" s="2">
        <v>2012.0</v>
      </c>
      <c r="C237" s="2">
        <v>3.0</v>
      </c>
      <c r="D237" s="2">
        <v>1.0</v>
      </c>
      <c r="E237" s="1" t="s">
        <v>453</v>
      </c>
      <c r="H237" s="2" t="s">
        <v>17</v>
      </c>
      <c r="I237" s="2" t="s">
        <v>18</v>
      </c>
      <c r="J237" s="1">
        <v>39.13477</v>
      </c>
      <c r="K237" s="1">
        <v>-120.20433</v>
      </c>
      <c r="L237" s="2" t="s">
        <v>24</v>
      </c>
      <c r="M237" s="2" t="s">
        <v>25</v>
      </c>
      <c r="N237" s="2">
        <v>1.0</v>
      </c>
      <c r="P237" s="8">
        <f t="shared" si="1"/>
        <v>40969</v>
      </c>
    </row>
    <row r="238" ht="15.75" customHeight="1">
      <c r="A238" s="2">
        <v>2012.0</v>
      </c>
      <c r="B238" s="2">
        <v>2012.0</v>
      </c>
      <c r="C238" s="2">
        <v>2.0</v>
      </c>
      <c r="D238" s="2">
        <v>27.0</v>
      </c>
      <c r="E238" s="1" t="s">
        <v>454</v>
      </c>
      <c r="H238" s="2" t="s">
        <v>17</v>
      </c>
      <c r="I238" s="2" t="s">
        <v>74</v>
      </c>
      <c r="J238" s="1">
        <v>43.70731</v>
      </c>
      <c r="K238" s="1">
        <v>-110.22351</v>
      </c>
      <c r="L238" s="2" t="s">
        <v>45</v>
      </c>
      <c r="M238" s="2" t="s">
        <v>46</v>
      </c>
      <c r="N238" s="2">
        <v>1.0</v>
      </c>
      <c r="P238" s="8">
        <f t="shared" si="1"/>
        <v>40966</v>
      </c>
    </row>
    <row r="239" ht="15.75" customHeight="1">
      <c r="A239" s="2">
        <v>2012.0</v>
      </c>
      <c r="B239" s="2">
        <v>2012.0</v>
      </c>
      <c r="C239" s="2">
        <v>2.0</v>
      </c>
      <c r="D239" s="2">
        <v>25.0</v>
      </c>
      <c r="E239" s="2" t="s">
        <v>455</v>
      </c>
      <c r="H239" s="2" t="s">
        <v>17</v>
      </c>
      <c r="I239" s="2" t="s">
        <v>85</v>
      </c>
      <c r="J239" s="1">
        <v>48.28091</v>
      </c>
      <c r="K239" s="1">
        <v>-113.34938</v>
      </c>
      <c r="L239" s="1" t="s">
        <v>273</v>
      </c>
      <c r="M239" s="1" t="s">
        <v>107</v>
      </c>
      <c r="N239" s="2">
        <v>1.0</v>
      </c>
      <c r="P239" s="8">
        <f t="shared" si="1"/>
        <v>40964</v>
      </c>
    </row>
    <row r="240" ht="15.75" customHeight="1">
      <c r="A240" s="2">
        <v>2012.0</v>
      </c>
      <c r="B240" s="2">
        <v>2012.0</v>
      </c>
      <c r="C240" s="2">
        <v>2.0</v>
      </c>
      <c r="D240" s="2">
        <v>23.0</v>
      </c>
      <c r="E240" s="2" t="s">
        <v>170</v>
      </c>
      <c r="H240" s="2" t="s">
        <v>17</v>
      </c>
      <c r="I240" s="2" t="s">
        <v>40</v>
      </c>
      <c r="J240" s="1">
        <v>40.65124</v>
      </c>
      <c r="K240" s="1">
        <v>-111.5917</v>
      </c>
      <c r="L240" s="2" t="s">
        <v>51</v>
      </c>
      <c r="M240" s="2" t="s">
        <v>60</v>
      </c>
      <c r="N240" s="2">
        <v>1.0</v>
      </c>
      <c r="P240" s="8">
        <f t="shared" si="1"/>
        <v>40962</v>
      </c>
    </row>
    <row r="241" ht="15.75" customHeight="1">
      <c r="A241" s="2">
        <v>2012.0</v>
      </c>
      <c r="B241" s="2">
        <v>2012.0</v>
      </c>
      <c r="C241" s="2">
        <v>2.0</v>
      </c>
      <c r="D241" s="2">
        <v>22.0</v>
      </c>
      <c r="E241" s="1" t="s">
        <v>456</v>
      </c>
      <c r="H241" s="2" t="s">
        <v>17</v>
      </c>
      <c r="I241" s="2" t="s">
        <v>85</v>
      </c>
      <c r="J241" s="1">
        <v>45.03811</v>
      </c>
      <c r="K241" s="1">
        <v>-109.94252</v>
      </c>
      <c r="L241" s="2" t="s">
        <v>45</v>
      </c>
      <c r="M241" s="2" t="s">
        <v>46</v>
      </c>
      <c r="N241" s="2">
        <v>1.0</v>
      </c>
      <c r="P241" s="8">
        <f t="shared" si="1"/>
        <v>40961</v>
      </c>
    </row>
    <row r="242" ht="15.75" customHeight="1">
      <c r="A242" s="2">
        <v>2012.0</v>
      </c>
      <c r="B242" s="2">
        <v>2012.0</v>
      </c>
      <c r="C242" s="2">
        <v>2.0</v>
      </c>
      <c r="D242" s="2">
        <v>20.0</v>
      </c>
      <c r="E242" s="2" t="s">
        <v>457</v>
      </c>
      <c r="H242" s="2" t="s">
        <v>17</v>
      </c>
      <c r="I242" s="2" t="s">
        <v>85</v>
      </c>
      <c r="J242" s="1">
        <v>48.24368</v>
      </c>
      <c r="K242" s="1">
        <v>-114.0035</v>
      </c>
      <c r="L242" s="2" t="s">
        <v>45</v>
      </c>
      <c r="M242" s="2" t="s">
        <v>46</v>
      </c>
      <c r="N242" s="2">
        <v>1.0</v>
      </c>
      <c r="P242" s="8">
        <f t="shared" si="1"/>
        <v>40959</v>
      </c>
    </row>
    <row r="243" ht="15.75" customHeight="1">
      <c r="A243" s="2">
        <v>2012.0</v>
      </c>
      <c r="B243" s="2">
        <v>2012.0</v>
      </c>
      <c r="C243" s="2">
        <v>2.0</v>
      </c>
      <c r="D243" s="2">
        <v>19.0</v>
      </c>
      <c r="E243" s="1" t="s">
        <v>458</v>
      </c>
      <c r="H243" s="2" t="s">
        <v>17</v>
      </c>
      <c r="I243" s="2" t="s">
        <v>77</v>
      </c>
      <c r="J243" s="1">
        <v>47.40393</v>
      </c>
      <c r="K243" s="1">
        <v>-121.41541</v>
      </c>
      <c r="L243" s="2" t="s">
        <v>51</v>
      </c>
      <c r="M243" s="2" t="s">
        <v>60</v>
      </c>
      <c r="N243" s="2">
        <v>1.0</v>
      </c>
      <c r="P243" s="8">
        <f t="shared" si="1"/>
        <v>40958</v>
      </c>
    </row>
    <row r="244" ht="15.75" customHeight="1">
      <c r="A244" s="2">
        <v>2012.0</v>
      </c>
      <c r="B244" s="2">
        <v>2012.0</v>
      </c>
      <c r="C244" s="2">
        <v>2.0</v>
      </c>
      <c r="D244" s="2">
        <v>19.0</v>
      </c>
      <c r="E244" s="1" t="s">
        <v>459</v>
      </c>
      <c r="H244" s="2" t="s">
        <v>17</v>
      </c>
      <c r="I244" s="2" t="s">
        <v>77</v>
      </c>
      <c r="J244" s="1">
        <v>47.73107</v>
      </c>
      <c r="K244" s="1">
        <v>-121.10229</v>
      </c>
      <c r="L244" s="2" t="s">
        <v>51</v>
      </c>
      <c r="M244" s="2" t="s">
        <v>25</v>
      </c>
      <c r="N244" s="2">
        <v>3.0</v>
      </c>
      <c r="P244" s="8">
        <f t="shared" si="1"/>
        <v>40958</v>
      </c>
    </row>
    <row r="245" ht="15.75" customHeight="1">
      <c r="A245" s="2">
        <v>2012.0</v>
      </c>
      <c r="B245" s="2">
        <v>2012.0</v>
      </c>
      <c r="C245" s="2">
        <v>2.0</v>
      </c>
      <c r="D245" s="2">
        <v>16.0</v>
      </c>
      <c r="E245" s="2" t="s">
        <v>460</v>
      </c>
      <c r="H245" s="2" t="s">
        <v>17</v>
      </c>
      <c r="I245" s="2" t="s">
        <v>35</v>
      </c>
      <c r="J245" s="1">
        <v>37.5023</v>
      </c>
      <c r="K245" s="1">
        <v>-106.80041</v>
      </c>
      <c r="L245" s="2" t="s">
        <v>24</v>
      </c>
      <c r="M245" s="2" t="s">
        <v>25</v>
      </c>
      <c r="N245" s="2">
        <v>1.0</v>
      </c>
      <c r="P245" s="8">
        <f t="shared" si="1"/>
        <v>40955</v>
      </c>
    </row>
    <row r="246" ht="15.75" customHeight="1">
      <c r="A246" s="2">
        <v>2012.0</v>
      </c>
      <c r="B246" s="2">
        <v>2012.0</v>
      </c>
      <c r="C246" s="2">
        <v>2.0</v>
      </c>
      <c r="D246" s="2">
        <v>13.0</v>
      </c>
      <c r="E246" s="2" t="s">
        <v>461</v>
      </c>
      <c r="H246" s="2" t="s">
        <v>17</v>
      </c>
      <c r="I246" s="2" t="s">
        <v>35</v>
      </c>
      <c r="J246" s="1">
        <v>37.92179</v>
      </c>
      <c r="K246" s="1">
        <v>-107.80952</v>
      </c>
      <c r="L246" s="2" t="s">
        <v>51</v>
      </c>
      <c r="M246" s="2" t="s">
        <v>60</v>
      </c>
      <c r="N246" s="2">
        <v>1.0</v>
      </c>
      <c r="P246" s="8">
        <f t="shared" si="1"/>
        <v>40952</v>
      </c>
    </row>
    <row r="247" ht="15.75" customHeight="1">
      <c r="A247" s="2">
        <v>2012.0</v>
      </c>
      <c r="B247" s="2">
        <v>2012.0</v>
      </c>
      <c r="C247" s="2">
        <v>2.0</v>
      </c>
      <c r="D247" s="2">
        <v>5.0</v>
      </c>
      <c r="E247" s="2" t="s">
        <v>462</v>
      </c>
      <c r="H247" s="2" t="s">
        <v>17</v>
      </c>
      <c r="I247" s="2" t="s">
        <v>40</v>
      </c>
      <c r="J247" s="1">
        <v>38.71646</v>
      </c>
      <c r="K247" s="1">
        <v>-111.72199</v>
      </c>
      <c r="L247" s="2" t="s">
        <v>45</v>
      </c>
      <c r="M247" s="2" t="s">
        <v>46</v>
      </c>
      <c r="N247" s="2">
        <v>1.0</v>
      </c>
      <c r="P247" s="8">
        <f t="shared" si="1"/>
        <v>40944</v>
      </c>
    </row>
    <row r="248" ht="15.75" customHeight="1">
      <c r="A248" s="2">
        <v>2012.0</v>
      </c>
      <c r="B248" s="2">
        <v>2012.0</v>
      </c>
      <c r="C248" s="2">
        <v>2.0</v>
      </c>
      <c r="D248" s="2">
        <v>1.0</v>
      </c>
      <c r="E248" s="2" t="s">
        <v>463</v>
      </c>
      <c r="H248" s="2" t="s">
        <v>17</v>
      </c>
      <c r="I248" s="2" t="s">
        <v>85</v>
      </c>
      <c r="J248" s="1">
        <v>48.1836</v>
      </c>
      <c r="K248" s="1">
        <v>-113.94539</v>
      </c>
      <c r="L248" s="2" t="s">
        <v>24</v>
      </c>
      <c r="M248" s="2" t="s">
        <v>25</v>
      </c>
      <c r="N248" s="2">
        <v>1.0</v>
      </c>
      <c r="P248" s="8">
        <f t="shared" si="1"/>
        <v>40940</v>
      </c>
    </row>
    <row r="249" ht="15.75" customHeight="1">
      <c r="A249" s="2">
        <v>2012.0</v>
      </c>
      <c r="B249" s="2">
        <v>2012.0</v>
      </c>
      <c r="C249" s="2">
        <v>1.0</v>
      </c>
      <c r="D249" s="2">
        <v>28.0</v>
      </c>
      <c r="E249" s="2" t="s">
        <v>464</v>
      </c>
      <c r="H249" s="2" t="s">
        <v>17</v>
      </c>
      <c r="I249" s="2" t="s">
        <v>40</v>
      </c>
      <c r="J249" s="1">
        <v>40.62223</v>
      </c>
      <c r="K249" s="1">
        <v>-111.66989</v>
      </c>
      <c r="L249" s="2" t="s">
        <v>24</v>
      </c>
      <c r="M249" s="2" t="s">
        <v>60</v>
      </c>
      <c r="N249" s="2">
        <v>1.0</v>
      </c>
      <c r="P249" s="8">
        <f t="shared" si="1"/>
        <v>40936</v>
      </c>
    </row>
    <row r="250" ht="15.75" customHeight="1">
      <c r="A250" s="2">
        <v>2012.0</v>
      </c>
      <c r="B250" s="2">
        <v>2012.0</v>
      </c>
      <c r="C250" s="2">
        <v>1.0</v>
      </c>
      <c r="D250" s="2">
        <v>22.0</v>
      </c>
      <c r="E250" s="1" t="s">
        <v>465</v>
      </c>
      <c r="H250" s="2" t="s">
        <v>196</v>
      </c>
      <c r="I250" s="2" t="s">
        <v>35</v>
      </c>
      <c r="J250" s="1">
        <v>39.61276</v>
      </c>
      <c r="K250" s="1">
        <v>-106.35495</v>
      </c>
      <c r="L250" s="2" t="s">
        <v>197</v>
      </c>
      <c r="M250" s="2" t="s">
        <v>25</v>
      </c>
      <c r="N250" s="2">
        <v>1.0</v>
      </c>
      <c r="P250" s="8">
        <f t="shared" si="1"/>
        <v>40930</v>
      </c>
    </row>
    <row r="251" ht="15.75" customHeight="1">
      <c r="A251" s="2">
        <v>2012.0</v>
      </c>
      <c r="B251" s="2">
        <v>2012.0</v>
      </c>
      <c r="C251" s="2">
        <v>1.0</v>
      </c>
      <c r="D251" s="2">
        <v>22.0</v>
      </c>
      <c r="E251" s="2" t="s">
        <v>466</v>
      </c>
      <c r="H251" s="2" t="s">
        <v>196</v>
      </c>
      <c r="I251" s="2" t="s">
        <v>35</v>
      </c>
      <c r="J251" s="1">
        <v>39.88692</v>
      </c>
      <c r="K251" s="1">
        <v>-105.76066</v>
      </c>
      <c r="L251" s="2" t="s">
        <v>197</v>
      </c>
      <c r="M251" s="2" t="s">
        <v>25</v>
      </c>
      <c r="N251" s="2">
        <v>1.0</v>
      </c>
      <c r="P251" s="8">
        <f t="shared" si="1"/>
        <v>40930</v>
      </c>
    </row>
    <row r="252" ht="15.75" customHeight="1">
      <c r="A252" s="2">
        <v>2012.0</v>
      </c>
      <c r="B252" s="2">
        <v>2012.0</v>
      </c>
      <c r="C252" s="2">
        <v>1.0</v>
      </c>
      <c r="D252" s="2">
        <v>21.0</v>
      </c>
      <c r="E252" s="2" t="s">
        <v>467</v>
      </c>
      <c r="H252" s="2" t="s">
        <v>17</v>
      </c>
      <c r="I252" s="2" t="s">
        <v>35</v>
      </c>
      <c r="J252" s="1">
        <v>40.56363</v>
      </c>
      <c r="K252" s="1">
        <v>-106.64257</v>
      </c>
      <c r="L252" s="2" t="s">
        <v>45</v>
      </c>
      <c r="M252" s="2" t="s">
        <v>46</v>
      </c>
      <c r="N252" s="2">
        <v>1.0</v>
      </c>
      <c r="P252" s="8">
        <f t="shared" si="1"/>
        <v>40929</v>
      </c>
    </row>
    <row r="253" ht="15.75" customHeight="1">
      <c r="A253" s="2">
        <v>2012.0</v>
      </c>
      <c r="B253" s="2">
        <v>2012.0</v>
      </c>
      <c r="C253" s="2">
        <v>1.0</v>
      </c>
      <c r="D253" s="2">
        <v>18.0</v>
      </c>
      <c r="E253" s="2" t="s">
        <v>468</v>
      </c>
      <c r="H253" s="2" t="s">
        <v>17</v>
      </c>
      <c r="I253" s="2" t="s">
        <v>35</v>
      </c>
      <c r="J253" s="1">
        <v>39.18044</v>
      </c>
      <c r="K253" s="1">
        <v>-106.92264</v>
      </c>
      <c r="L253" s="2" t="s">
        <v>51</v>
      </c>
      <c r="M253" s="2" t="s">
        <v>25</v>
      </c>
      <c r="N253" s="2">
        <v>1.0</v>
      </c>
      <c r="P253" s="8">
        <f t="shared" si="1"/>
        <v>40926</v>
      </c>
    </row>
    <row r="254" ht="15.75" customHeight="1">
      <c r="A254" s="2">
        <v>2012.0</v>
      </c>
      <c r="B254" s="2">
        <v>2012.0</v>
      </c>
      <c r="C254" s="2">
        <v>1.0</v>
      </c>
      <c r="D254" s="2">
        <v>1.0</v>
      </c>
      <c r="E254" s="2" t="s">
        <v>469</v>
      </c>
      <c r="H254" s="2" t="s">
        <v>17</v>
      </c>
      <c r="I254" s="2" t="s">
        <v>85</v>
      </c>
      <c r="J254" s="1">
        <v>46.28812</v>
      </c>
      <c r="K254" s="1">
        <v>-113.19969</v>
      </c>
      <c r="L254" s="2" t="s">
        <v>45</v>
      </c>
      <c r="M254" s="2" t="s">
        <v>46</v>
      </c>
      <c r="N254" s="2">
        <v>1.0</v>
      </c>
      <c r="P254" s="8">
        <f t="shared" si="1"/>
        <v>40909</v>
      </c>
    </row>
    <row r="255" ht="15.75" customHeight="1">
      <c r="A255" s="2">
        <v>2012.0</v>
      </c>
      <c r="B255" s="2">
        <v>2011.0</v>
      </c>
      <c r="C255" s="2">
        <v>12.0</v>
      </c>
      <c r="D255" s="2">
        <v>31.0</v>
      </c>
      <c r="E255" s="2" t="s">
        <v>470</v>
      </c>
      <c r="H255" s="2" t="s">
        <v>17</v>
      </c>
      <c r="I255" s="2" t="s">
        <v>85</v>
      </c>
      <c r="J255" s="1">
        <v>44.98826</v>
      </c>
      <c r="K255" s="1">
        <v>-109.9001</v>
      </c>
      <c r="L255" s="2" t="s">
        <v>24</v>
      </c>
      <c r="M255" s="2" t="s">
        <v>25</v>
      </c>
      <c r="N255" s="2">
        <v>1.0</v>
      </c>
      <c r="P255" s="8">
        <f t="shared" si="1"/>
        <v>40908</v>
      </c>
    </row>
    <row r="256" ht="15.75" customHeight="1">
      <c r="A256" s="2">
        <v>2012.0</v>
      </c>
      <c r="B256" s="2">
        <v>2011.0</v>
      </c>
      <c r="C256" s="2">
        <v>12.0</v>
      </c>
      <c r="D256" s="2">
        <v>31.0</v>
      </c>
      <c r="E256" s="2" t="s">
        <v>299</v>
      </c>
      <c r="H256" s="2" t="s">
        <v>17</v>
      </c>
      <c r="I256" s="2" t="s">
        <v>85</v>
      </c>
      <c r="J256" s="1">
        <v>45.05412</v>
      </c>
      <c r="K256" s="1">
        <v>-109.92405</v>
      </c>
      <c r="L256" s="2" t="s">
        <v>45</v>
      </c>
      <c r="M256" s="2" t="s">
        <v>46</v>
      </c>
      <c r="N256" s="2">
        <v>1.0</v>
      </c>
      <c r="P256" s="8">
        <f t="shared" si="1"/>
        <v>40908</v>
      </c>
    </row>
    <row r="257" ht="15.75" customHeight="1">
      <c r="A257" s="2">
        <v>2012.0</v>
      </c>
      <c r="B257" s="2">
        <v>2011.0</v>
      </c>
      <c r="C257" s="2">
        <v>11.0</v>
      </c>
      <c r="D257" s="2">
        <v>13.0</v>
      </c>
      <c r="E257" s="2" t="s">
        <v>471</v>
      </c>
      <c r="H257" s="2" t="s">
        <v>17</v>
      </c>
      <c r="I257" s="2" t="s">
        <v>40</v>
      </c>
      <c r="J257" s="1">
        <v>40.56899</v>
      </c>
      <c r="K257" s="1">
        <v>-111.65284</v>
      </c>
      <c r="L257" s="2" t="s">
        <v>24</v>
      </c>
      <c r="M257" s="2" t="s">
        <v>60</v>
      </c>
      <c r="N257" s="2">
        <v>1.0</v>
      </c>
      <c r="P257" s="8">
        <f t="shared" si="1"/>
        <v>40860</v>
      </c>
    </row>
    <row r="258" ht="15.75" customHeight="1">
      <c r="A258" s="2">
        <v>2011.0</v>
      </c>
      <c r="B258" s="2">
        <v>2011.0</v>
      </c>
      <c r="C258" s="2">
        <v>5.0</v>
      </c>
      <c r="D258" s="2">
        <v>22.0</v>
      </c>
      <c r="E258" s="2" t="s">
        <v>472</v>
      </c>
      <c r="H258" s="9" t="s">
        <v>17</v>
      </c>
      <c r="I258" s="2" t="s">
        <v>28</v>
      </c>
      <c r="J258" s="1">
        <v>62.988611</v>
      </c>
      <c r="K258" s="1">
        <v>-151.1625</v>
      </c>
      <c r="L258" s="2" t="s">
        <v>29</v>
      </c>
      <c r="M258" s="2" t="s">
        <v>20</v>
      </c>
      <c r="N258" s="2">
        <v>2.0</v>
      </c>
      <c r="P258" s="8">
        <f t="shared" si="1"/>
        <v>40685</v>
      </c>
    </row>
    <row r="259" ht="15.75" customHeight="1">
      <c r="A259" s="2">
        <v>2011.0</v>
      </c>
      <c r="B259" s="2">
        <v>2011.0</v>
      </c>
      <c r="C259" s="2">
        <v>5.0</v>
      </c>
      <c r="D259" s="2">
        <v>21.0</v>
      </c>
      <c r="E259" s="2" t="s">
        <v>473</v>
      </c>
      <c r="H259" s="2" t="s">
        <v>17</v>
      </c>
      <c r="I259" s="2" t="s">
        <v>35</v>
      </c>
      <c r="J259" s="1">
        <v>39.64473</v>
      </c>
      <c r="K259" s="1">
        <v>-105.81825</v>
      </c>
      <c r="L259" s="2" t="s">
        <v>24</v>
      </c>
      <c r="M259" s="2" t="s">
        <v>60</v>
      </c>
      <c r="N259" s="2">
        <v>1.0</v>
      </c>
      <c r="P259" s="8">
        <f t="shared" si="1"/>
        <v>40684</v>
      </c>
    </row>
    <row r="260" ht="15.75" customHeight="1">
      <c r="A260" s="2">
        <v>2011.0</v>
      </c>
      <c r="B260" s="2">
        <v>2011.0</v>
      </c>
      <c r="C260" s="2">
        <v>4.0</v>
      </c>
      <c r="D260" s="1">
        <v>28.0</v>
      </c>
      <c r="E260" s="2" t="s">
        <v>474</v>
      </c>
      <c r="H260" s="9" t="s">
        <v>17</v>
      </c>
      <c r="I260" s="2" t="s">
        <v>28</v>
      </c>
      <c r="J260" s="1">
        <v>0.0</v>
      </c>
      <c r="K260" s="1">
        <v>0.0</v>
      </c>
      <c r="L260" s="2" t="s">
        <v>29</v>
      </c>
      <c r="M260" s="2" t="s">
        <v>20</v>
      </c>
      <c r="N260" s="2">
        <v>1.0</v>
      </c>
      <c r="P260" s="8">
        <f t="shared" si="1"/>
        <v>40661</v>
      </c>
    </row>
    <row r="261" ht="15.75" customHeight="1">
      <c r="A261" s="2">
        <v>2011.0</v>
      </c>
      <c r="B261" s="2">
        <v>2011.0</v>
      </c>
      <c r="C261" s="2">
        <v>4.0</v>
      </c>
      <c r="D261" s="2">
        <v>26.0</v>
      </c>
      <c r="E261" s="2" t="s">
        <v>475</v>
      </c>
      <c r="H261" s="2" t="s">
        <v>17</v>
      </c>
      <c r="I261" s="2" t="s">
        <v>18</v>
      </c>
      <c r="J261" s="1">
        <v>37.02093</v>
      </c>
      <c r="K261" s="1">
        <v>-118.42155</v>
      </c>
      <c r="L261" s="2" t="s">
        <v>24</v>
      </c>
      <c r="M261" s="2" t="s">
        <v>25</v>
      </c>
      <c r="N261" s="2">
        <v>2.0</v>
      </c>
      <c r="P261" s="8">
        <f t="shared" si="1"/>
        <v>40659</v>
      </c>
    </row>
    <row r="262" ht="15.75" customHeight="1">
      <c r="A262" s="2">
        <v>2011.0</v>
      </c>
      <c r="B262" s="2">
        <v>2011.0</v>
      </c>
      <c r="C262" s="2">
        <v>4.0</v>
      </c>
      <c r="D262" s="2">
        <v>18.0</v>
      </c>
      <c r="E262" s="2" t="s">
        <v>476</v>
      </c>
      <c r="H262" s="2" t="s">
        <v>17</v>
      </c>
      <c r="I262" s="2" t="s">
        <v>28</v>
      </c>
      <c r="J262" s="1">
        <v>0.0</v>
      </c>
      <c r="K262" s="1">
        <v>0.0</v>
      </c>
      <c r="L262" s="2" t="s">
        <v>402</v>
      </c>
      <c r="M262" s="2" t="s">
        <v>477</v>
      </c>
      <c r="N262" s="2">
        <v>1.0</v>
      </c>
      <c r="P262" s="8">
        <f t="shared" si="1"/>
        <v>40651</v>
      </c>
    </row>
    <row r="263" ht="15.75" customHeight="1">
      <c r="A263" s="2">
        <v>2011.0</v>
      </c>
      <c r="B263" s="2">
        <v>2011.0</v>
      </c>
      <c r="C263" s="2">
        <v>4.0</v>
      </c>
      <c r="D263" s="2">
        <v>16.0</v>
      </c>
      <c r="E263" s="2" t="s">
        <v>478</v>
      </c>
      <c r="H263" s="9" t="s">
        <v>17</v>
      </c>
      <c r="I263" s="2" t="s">
        <v>74</v>
      </c>
      <c r="J263" s="1">
        <v>0.0</v>
      </c>
      <c r="K263" s="1">
        <v>0.0</v>
      </c>
      <c r="L263" s="2" t="s">
        <v>24</v>
      </c>
      <c r="M263" s="2" t="s">
        <v>20</v>
      </c>
      <c r="N263" s="2">
        <v>2.0</v>
      </c>
      <c r="P263" s="8">
        <f t="shared" si="1"/>
        <v>40649</v>
      </c>
    </row>
    <row r="264" ht="15.75" customHeight="1">
      <c r="A264" s="2">
        <v>2011.0</v>
      </c>
      <c r="B264" s="2">
        <v>2011.0</v>
      </c>
      <c r="C264" s="2">
        <v>4.0</v>
      </c>
      <c r="D264" s="2">
        <v>4.0</v>
      </c>
      <c r="E264" s="2" t="s">
        <v>479</v>
      </c>
      <c r="H264" s="2" t="s">
        <v>17</v>
      </c>
      <c r="I264" s="2" t="s">
        <v>35</v>
      </c>
      <c r="J264" s="1">
        <v>39.1341833</v>
      </c>
      <c r="K264" s="1">
        <v>-106.8850167</v>
      </c>
      <c r="L264" s="2" t="s">
        <v>51</v>
      </c>
      <c r="M264" s="2" t="s">
        <v>281</v>
      </c>
      <c r="N264" s="2">
        <v>1.0</v>
      </c>
      <c r="P264" s="8">
        <f t="shared" si="1"/>
        <v>40637</v>
      </c>
    </row>
    <row r="265" ht="15.75" customHeight="1">
      <c r="A265" s="2">
        <v>2011.0</v>
      </c>
      <c r="B265" s="2">
        <v>2011.0</v>
      </c>
      <c r="C265" s="2">
        <v>3.0</v>
      </c>
      <c r="D265" s="2">
        <v>27.0</v>
      </c>
      <c r="E265" s="2" t="s">
        <v>480</v>
      </c>
      <c r="H265" s="2" t="s">
        <v>17</v>
      </c>
      <c r="I265" s="2" t="s">
        <v>77</v>
      </c>
      <c r="J265" s="1">
        <v>0.0</v>
      </c>
      <c r="K265" s="1">
        <v>0.0</v>
      </c>
      <c r="L265" s="2" t="s">
        <v>24</v>
      </c>
      <c r="M265" s="2" t="s">
        <v>60</v>
      </c>
      <c r="N265" s="2">
        <v>1.0</v>
      </c>
      <c r="P265" s="8">
        <f t="shared" si="1"/>
        <v>40629</v>
      </c>
    </row>
    <row r="266" ht="15.75" customHeight="1">
      <c r="A266" s="2">
        <v>2011.0</v>
      </c>
      <c r="B266" s="2">
        <v>2011.0</v>
      </c>
      <c r="C266" s="2">
        <v>3.0</v>
      </c>
      <c r="D266" s="2">
        <v>26.0</v>
      </c>
      <c r="E266" s="2" t="s">
        <v>481</v>
      </c>
      <c r="H266" s="2" t="s">
        <v>17</v>
      </c>
      <c r="I266" s="2" t="s">
        <v>40</v>
      </c>
      <c r="J266" s="1">
        <v>0.0</v>
      </c>
      <c r="K266" s="1">
        <v>0.0</v>
      </c>
      <c r="L266" s="2" t="s">
        <v>24</v>
      </c>
      <c r="M266" s="2" t="s">
        <v>25</v>
      </c>
      <c r="N266" s="2">
        <v>1.0</v>
      </c>
      <c r="P266" s="8">
        <f t="shared" si="1"/>
        <v>40628</v>
      </c>
    </row>
    <row r="267" ht="15.75" customHeight="1">
      <c r="A267" s="2">
        <v>2011.0</v>
      </c>
      <c r="B267" s="2">
        <v>2011.0</v>
      </c>
      <c r="C267" s="2">
        <v>3.0</v>
      </c>
      <c r="D267" s="2">
        <v>19.0</v>
      </c>
      <c r="E267" s="2" t="s">
        <v>482</v>
      </c>
      <c r="H267" s="2" t="s">
        <v>17</v>
      </c>
      <c r="I267" s="2" t="s">
        <v>28</v>
      </c>
      <c r="J267" s="1">
        <v>0.0</v>
      </c>
      <c r="K267" s="1">
        <v>0.0</v>
      </c>
      <c r="L267" s="2" t="s">
        <v>24</v>
      </c>
      <c r="M267" s="2" t="s">
        <v>25</v>
      </c>
      <c r="N267" s="2">
        <v>1.0</v>
      </c>
      <c r="P267" s="8">
        <f t="shared" si="1"/>
        <v>40621</v>
      </c>
    </row>
    <row r="268" ht="15.75" customHeight="1">
      <c r="A268" s="2">
        <v>2011.0</v>
      </c>
      <c r="B268" s="2">
        <v>2011.0</v>
      </c>
      <c r="C268" s="2">
        <v>3.0</v>
      </c>
      <c r="D268" s="2">
        <v>5.0</v>
      </c>
      <c r="E268" s="2" t="s">
        <v>483</v>
      </c>
      <c r="H268" s="2" t="s">
        <v>17</v>
      </c>
      <c r="I268" s="2" t="s">
        <v>77</v>
      </c>
      <c r="J268" s="1">
        <v>0.0</v>
      </c>
      <c r="K268" s="1">
        <v>0.0</v>
      </c>
      <c r="L268" s="2" t="s">
        <v>24</v>
      </c>
      <c r="M268" s="2" t="s">
        <v>25</v>
      </c>
      <c r="N268" s="2">
        <v>1.0</v>
      </c>
      <c r="P268" s="8">
        <f t="shared" si="1"/>
        <v>40607</v>
      </c>
    </row>
    <row r="269" ht="15.75" customHeight="1">
      <c r="A269" s="2">
        <v>2011.0</v>
      </c>
      <c r="B269" s="2">
        <v>2011.0</v>
      </c>
      <c r="C269" s="2">
        <v>2.0</v>
      </c>
      <c r="D269" s="2">
        <v>22.0</v>
      </c>
      <c r="E269" s="2" t="s">
        <v>484</v>
      </c>
      <c r="H269" s="2" t="s">
        <v>17</v>
      </c>
      <c r="I269" s="2" t="s">
        <v>35</v>
      </c>
      <c r="J269" s="1">
        <v>39.1766667</v>
      </c>
      <c r="K269" s="1">
        <v>-106.9752778</v>
      </c>
      <c r="L269" s="2" t="s">
        <v>24</v>
      </c>
      <c r="M269" s="2" t="s">
        <v>25</v>
      </c>
      <c r="N269" s="2">
        <v>1.0</v>
      </c>
      <c r="P269" s="8">
        <f t="shared" si="1"/>
        <v>40596</v>
      </c>
    </row>
    <row r="270" ht="15.75" customHeight="1">
      <c r="A270" s="2">
        <v>2011.0</v>
      </c>
      <c r="B270" s="2">
        <v>2011.0</v>
      </c>
      <c r="C270" s="2">
        <v>2.0</v>
      </c>
      <c r="D270" s="2">
        <v>20.0</v>
      </c>
      <c r="E270" s="2" t="s">
        <v>485</v>
      </c>
      <c r="H270" s="2" t="s">
        <v>17</v>
      </c>
      <c r="I270" s="2" t="s">
        <v>35</v>
      </c>
      <c r="J270" s="1">
        <v>40.1167083</v>
      </c>
      <c r="K270" s="1">
        <v>-107.3775583</v>
      </c>
      <c r="L270" s="2" t="s">
        <v>45</v>
      </c>
      <c r="M270" s="2" t="s">
        <v>46</v>
      </c>
      <c r="N270" s="2">
        <v>1.0</v>
      </c>
      <c r="P270" s="8">
        <f t="shared" si="1"/>
        <v>40594</v>
      </c>
    </row>
    <row r="271" ht="15.75" customHeight="1">
      <c r="A271" s="2">
        <v>2011.0</v>
      </c>
      <c r="B271" s="2">
        <v>2011.0</v>
      </c>
      <c r="C271" s="2">
        <v>2.0</v>
      </c>
      <c r="D271" s="2">
        <v>14.0</v>
      </c>
      <c r="E271" s="2" t="s">
        <v>221</v>
      </c>
      <c r="H271" s="2" t="s">
        <v>17</v>
      </c>
      <c r="I271" s="2" t="s">
        <v>85</v>
      </c>
      <c r="J271" s="1">
        <v>45.80933</v>
      </c>
      <c r="K271" s="1">
        <v>-110.93343</v>
      </c>
      <c r="L271" s="2" t="s">
        <v>24</v>
      </c>
      <c r="M271" s="2" t="s">
        <v>60</v>
      </c>
      <c r="N271" s="2">
        <v>1.0</v>
      </c>
      <c r="P271" s="8">
        <f t="shared" si="1"/>
        <v>40588</v>
      </c>
    </row>
    <row r="272" ht="15.75" customHeight="1">
      <c r="A272" s="2">
        <v>2011.0</v>
      </c>
      <c r="B272" s="2">
        <v>2011.0</v>
      </c>
      <c r="C272" s="2">
        <v>2.0</v>
      </c>
      <c r="D272" s="2">
        <v>1.0</v>
      </c>
      <c r="E272" s="2" t="s">
        <v>486</v>
      </c>
      <c r="H272" s="2" t="s">
        <v>17</v>
      </c>
      <c r="I272" s="2" t="s">
        <v>77</v>
      </c>
      <c r="J272" s="1">
        <v>0.0</v>
      </c>
      <c r="K272" s="1">
        <v>0.0</v>
      </c>
      <c r="L272" s="2" t="s">
        <v>24</v>
      </c>
      <c r="M272" s="2" t="s">
        <v>25</v>
      </c>
      <c r="N272" s="2">
        <v>1.0</v>
      </c>
      <c r="P272" s="8">
        <f t="shared" si="1"/>
        <v>40575</v>
      </c>
    </row>
    <row r="273" ht="15.75" customHeight="1">
      <c r="A273" s="2">
        <v>2011.0</v>
      </c>
      <c r="B273" s="2">
        <v>2011.0</v>
      </c>
      <c r="C273" s="2">
        <v>1.0</v>
      </c>
      <c r="D273" s="2">
        <v>17.0</v>
      </c>
      <c r="E273" s="2" t="s">
        <v>487</v>
      </c>
      <c r="H273" s="2" t="s">
        <v>17</v>
      </c>
      <c r="I273" s="2" t="s">
        <v>35</v>
      </c>
      <c r="J273" s="1">
        <v>39.80247</v>
      </c>
      <c r="K273" s="1">
        <v>-105.76991</v>
      </c>
      <c r="L273" s="2" t="s">
        <v>24</v>
      </c>
      <c r="M273" s="2" t="s">
        <v>60</v>
      </c>
      <c r="N273" s="2">
        <v>1.0</v>
      </c>
      <c r="P273" s="8">
        <f t="shared" si="1"/>
        <v>40560</v>
      </c>
    </row>
    <row r="274" ht="15.75" customHeight="1">
      <c r="A274" s="2">
        <v>2011.0</v>
      </c>
      <c r="B274" s="2">
        <v>2011.0</v>
      </c>
      <c r="C274" s="2">
        <v>1.0</v>
      </c>
      <c r="D274" s="2">
        <v>8.0</v>
      </c>
      <c r="E274" s="2" t="s">
        <v>488</v>
      </c>
      <c r="H274" s="2" t="s">
        <v>17</v>
      </c>
      <c r="I274" s="2" t="s">
        <v>85</v>
      </c>
      <c r="J274" s="1">
        <v>0.0</v>
      </c>
      <c r="K274" s="1">
        <v>0.0</v>
      </c>
      <c r="L274" s="2" t="s">
        <v>45</v>
      </c>
      <c r="M274" s="2" t="s">
        <v>46</v>
      </c>
      <c r="N274" s="2">
        <v>1.0</v>
      </c>
      <c r="P274" s="8">
        <f t="shared" si="1"/>
        <v>40551</v>
      </c>
    </row>
    <row r="275" ht="15.75" customHeight="1">
      <c r="A275" s="2">
        <v>2011.0</v>
      </c>
      <c r="B275" s="2">
        <v>2010.0</v>
      </c>
      <c r="C275" s="2">
        <v>12.0</v>
      </c>
      <c r="D275" s="2">
        <v>29.0</v>
      </c>
      <c r="E275" s="2" t="s">
        <v>489</v>
      </c>
      <c r="H275" s="2" t="s">
        <v>17</v>
      </c>
      <c r="I275" s="2" t="s">
        <v>49</v>
      </c>
      <c r="J275" s="1">
        <v>0.0</v>
      </c>
      <c r="K275" s="1">
        <v>0.0</v>
      </c>
      <c r="L275" s="2" t="s">
        <v>45</v>
      </c>
      <c r="M275" s="2" t="s">
        <v>46</v>
      </c>
      <c r="N275" s="2">
        <v>1.0</v>
      </c>
      <c r="P275" s="8">
        <f t="shared" si="1"/>
        <v>40541</v>
      </c>
    </row>
    <row r="276" ht="15.75" customHeight="1">
      <c r="A276" s="2">
        <v>2011.0</v>
      </c>
      <c r="B276" s="2">
        <v>2010.0</v>
      </c>
      <c r="C276" s="2">
        <v>12.0</v>
      </c>
      <c r="D276" s="2">
        <v>5.0</v>
      </c>
      <c r="E276" s="2" t="s">
        <v>490</v>
      </c>
      <c r="H276" s="2" t="s">
        <v>17</v>
      </c>
      <c r="I276" s="2" t="s">
        <v>35</v>
      </c>
      <c r="J276" s="1">
        <v>39.7630556</v>
      </c>
      <c r="K276" s="1">
        <v>-106.0983333</v>
      </c>
      <c r="L276" s="2" t="s">
        <v>24</v>
      </c>
      <c r="M276" s="2" t="s">
        <v>25</v>
      </c>
      <c r="N276" s="2">
        <v>1.0</v>
      </c>
      <c r="P276" s="8">
        <f t="shared" si="1"/>
        <v>40517</v>
      </c>
    </row>
    <row r="277" ht="15.75" customHeight="1">
      <c r="A277" s="2">
        <v>2011.0</v>
      </c>
      <c r="B277" s="2">
        <v>2010.0</v>
      </c>
      <c r="C277" s="2">
        <v>12.0</v>
      </c>
      <c r="D277" s="2">
        <v>4.0</v>
      </c>
      <c r="E277" s="2" t="s">
        <v>491</v>
      </c>
      <c r="H277" s="2" t="s">
        <v>17</v>
      </c>
      <c r="I277" s="2" t="s">
        <v>77</v>
      </c>
      <c r="J277" s="1">
        <v>0.0</v>
      </c>
      <c r="K277" s="1">
        <v>0.0</v>
      </c>
      <c r="L277" s="2" t="s">
        <v>29</v>
      </c>
      <c r="M277" s="2" t="s">
        <v>20</v>
      </c>
      <c r="N277" s="2">
        <v>1.0</v>
      </c>
      <c r="P277" s="8">
        <f t="shared" si="1"/>
        <v>40516</v>
      </c>
    </row>
    <row r="278" ht="15.75" customHeight="1">
      <c r="A278" s="2">
        <v>2011.0</v>
      </c>
      <c r="B278" s="2">
        <v>2010.0</v>
      </c>
      <c r="C278" s="2">
        <v>11.0</v>
      </c>
      <c r="D278" s="2">
        <v>26.0</v>
      </c>
      <c r="E278" s="2" t="s">
        <v>492</v>
      </c>
      <c r="H278" s="2" t="s">
        <v>17</v>
      </c>
      <c r="I278" s="2" t="s">
        <v>40</v>
      </c>
      <c r="J278" s="1">
        <v>0.0</v>
      </c>
      <c r="K278" s="1">
        <v>0.0</v>
      </c>
      <c r="L278" s="2" t="s">
        <v>45</v>
      </c>
      <c r="M278" s="2" t="s">
        <v>46</v>
      </c>
      <c r="N278" s="2">
        <v>1.0</v>
      </c>
      <c r="P278" s="8">
        <f t="shared" si="1"/>
        <v>40508</v>
      </c>
    </row>
    <row r="279" ht="15.75" customHeight="1">
      <c r="A279" s="2">
        <v>2011.0</v>
      </c>
      <c r="B279" s="2">
        <v>2010.0</v>
      </c>
      <c r="C279" s="2">
        <v>11.0</v>
      </c>
      <c r="D279" s="2">
        <v>22.0</v>
      </c>
      <c r="E279" s="2" t="s">
        <v>493</v>
      </c>
      <c r="H279" s="2" t="s">
        <v>196</v>
      </c>
      <c r="I279" s="2" t="s">
        <v>35</v>
      </c>
      <c r="J279" s="1">
        <v>37.4599722</v>
      </c>
      <c r="K279" s="1">
        <v>-106.7997778</v>
      </c>
      <c r="L279" s="2" t="s">
        <v>384</v>
      </c>
      <c r="M279" s="2" t="s">
        <v>25</v>
      </c>
      <c r="N279" s="2">
        <v>1.0</v>
      </c>
      <c r="P279" s="8">
        <f t="shared" si="1"/>
        <v>40504</v>
      </c>
    </row>
    <row r="280" ht="15.75" customHeight="1">
      <c r="A280" s="2">
        <v>2010.0</v>
      </c>
      <c r="B280" s="2">
        <v>2010.0</v>
      </c>
      <c r="C280" s="2">
        <v>6.0</v>
      </c>
      <c r="D280" s="2">
        <v>14.0</v>
      </c>
      <c r="E280" s="2" t="s">
        <v>494</v>
      </c>
      <c r="H280" s="2" t="s">
        <v>17</v>
      </c>
      <c r="I280" s="2" t="s">
        <v>85</v>
      </c>
      <c r="J280" s="1">
        <v>0.0</v>
      </c>
      <c r="K280" s="1">
        <v>0.0</v>
      </c>
      <c r="L280" s="2" t="s">
        <v>24</v>
      </c>
      <c r="M280" s="2" t="s">
        <v>25</v>
      </c>
      <c r="N280" s="2">
        <v>1.0</v>
      </c>
      <c r="P280" s="8">
        <f t="shared" si="1"/>
        <v>40343</v>
      </c>
    </row>
    <row r="281" ht="15.75" customHeight="1">
      <c r="A281" s="2">
        <v>2010.0</v>
      </c>
      <c r="B281" s="2">
        <v>2010.0</v>
      </c>
      <c r="C281" s="2">
        <v>6.0</v>
      </c>
      <c r="D281" s="2">
        <v>5.0</v>
      </c>
      <c r="E281" s="2" t="s">
        <v>495</v>
      </c>
      <c r="H281" s="9" t="s">
        <v>17</v>
      </c>
      <c r="I281" s="2" t="s">
        <v>77</v>
      </c>
      <c r="J281" s="1">
        <v>0.0</v>
      </c>
      <c r="K281" s="1">
        <v>0.0</v>
      </c>
      <c r="L281" s="2" t="s">
        <v>29</v>
      </c>
      <c r="M281" s="2" t="s">
        <v>20</v>
      </c>
      <c r="N281" s="2">
        <v>1.0</v>
      </c>
      <c r="P281" s="8">
        <f t="shared" si="1"/>
        <v>40334</v>
      </c>
    </row>
    <row r="282" ht="15.75" customHeight="1">
      <c r="A282" s="2">
        <v>2010.0</v>
      </c>
      <c r="B282" s="2">
        <v>2010.0</v>
      </c>
      <c r="C282" s="2">
        <v>5.0</v>
      </c>
      <c r="D282" s="2">
        <v>29.0</v>
      </c>
      <c r="E282" s="2" t="s">
        <v>496</v>
      </c>
      <c r="H282" s="9" t="s">
        <v>17</v>
      </c>
      <c r="I282" s="2" t="s">
        <v>28</v>
      </c>
      <c r="J282" s="1">
        <v>0.0</v>
      </c>
      <c r="K282" s="1">
        <v>0.0</v>
      </c>
      <c r="L282" s="2" t="s">
        <v>29</v>
      </c>
      <c r="M282" s="2" t="s">
        <v>20</v>
      </c>
      <c r="N282" s="2">
        <v>2.0</v>
      </c>
      <c r="P282" s="8">
        <f t="shared" si="1"/>
        <v>40327</v>
      </c>
    </row>
    <row r="283" ht="15.75" customHeight="1">
      <c r="A283" s="2">
        <v>2010.0</v>
      </c>
      <c r="B283" s="2">
        <v>2010.0</v>
      </c>
      <c r="C283" s="2">
        <v>4.0</v>
      </c>
      <c r="D283" s="2">
        <v>14.0</v>
      </c>
      <c r="E283" s="2" t="s">
        <v>497</v>
      </c>
      <c r="H283" s="2" t="s">
        <v>17</v>
      </c>
      <c r="I283" s="2" t="s">
        <v>85</v>
      </c>
      <c r="J283" s="1">
        <v>0.0</v>
      </c>
      <c r="K283" s="1">
        <v>0.0</v>
      </c>
      <c r="L283" s="2" t="s">
        <v>45</v>
      </c>
      <c r="M283" s="2" t="s">
        <v>46</v>
      </c>
      <c r="N283" s="2">
        <v>1.0</v>
      </c>
      <c r="P283" s="8">
        <f t="shared" si="1"/>
        <v>40282</v>
      </c>
    </row>
    <row r="284" ht="15.75" customHeight="1">
      <c r="A284" s="2">
        <v>2010.0</v>
      </c>
      <c r="B284" s="2">
        <v>2010.0</v>
      </c>
      <c r="C284" s="2">
        <v>4.0</v>
      </c>
      <c r="D284" s="2">
        <v>4.0</v>
      </c>
      <c r="E284" s="2" t="s">
        <v>498</v>
      </c>
      <c r="H284" s="2" t="s">
        <v>17</v>
      </c>
      <c r="I284" s="2" t="s">
        <v>40</v>
      </c>
      <c r="J284" s="1">
        <v>0.0</v>
      </c>
      <c r="K284" s="1">
        <v>0.0</v>
      </c>
      <c r="L284" s="2" t="s">
        <v>45</v>
      </c>
      <c r="M284" s="2" t="s">
        <v>46</v>
      </c>
      <c r="N284" s="2">
        <v>1.0</v>
      </c>
      <c r="P284" s="8">
        <f t="shared" si="1"/>
        <v>40272</v>
      </c>
    </row>
    <row r="285" ht="15.75" customHeight="1">
      <c r="A285" s="2">
        <v>2010.0</v>
      </c>
      <c r="B285" s="2">
        <v>2010.0</v>
      </c>
      <c r="C285" s="2">
        <v>4.0</v>
      </c>
      <c r="D285" s="2">
        <v>2.0</v>
      </c>
      <c r="E285" s="2" t="s">
        <v>499</v>
      </c>
      <c r="H285" s="2" t="s">
        <v>17</v>
      </c>
      <c r="I285" s="2" t="s">
        <v>74</v>
      </c>
      <c r="J285" s="1">
        <v>0.0</v>
      </c>
      <c r="K285" s="1">
        <v>0.0</v>
      </c>
      <c r="L285" s="2" t="s">
        <v>45</v>
      </c>
      <c r="M285" s="2" t="s">
        <v>46</v>
      </c>
      <c r="N285" s="2">
        <v>1.0</v>
      </c>
      <c r="P285" s="8">
        <f t="shared" si="1"/>
        <v>40270</v>
      </c>
    </row>
    <row r="286" ht="15.75" customHeight="1">
      <c r="A286" s="2">
        <v>2010.0</v>
      </c>
      <c r="B286" s="2">
        <v>2010.0</v>
      </c>
      <c r="C286" s="2">
        <v>3.0</v>
      </c>
      <c r="D286" s="2">
        <v>30.0</v>
      </c>
      <c r="E286" s="2" t="s">
        <v>500</v>
      </c>
      <c r="H286" s="2" t="s">
        <v>17</v>
      </c>
      <c r="I286" s="2" t="s">
        <v>85</v>
      </c>
      <c r="J286" s="1">
        <v>0.0</v>
      </c>
      <c r="K286" s="1">
        <v>0.0</v>
      </c>
      <c r="L286" s="2" t="s">
        <v>24</v>
      </c>
      <c r="M286" s="2" t="s">
        <v>60</v>
      </c>
      <c r="N286" s="2">
        <v>1.0</v>
      </c>
      <c r="P286" s="8">
        <f t="shared" si="1"/>
        <v>40267</v>
      </c>
    </row>
    <row r="287" ht="15.75" customHeight="1">
      <c r="A287" s="2">
        <v>2010.0</v>
      </c>
      <c r="B287" s="2">
        <v>2010.0</v>
      </c>
      <c r="C287" s="2">
        <v>3.0</v>
      </c>
      <c r="D287" s="2">
        <v>30.0</v>
      </c>
      <c r="E287" s="2" t="s">
        <v>501</v>
      </c>
      <c r="H287" s="2" t="s">
        <v>17</v>
      </c>
      <c r="I287" s="2" t="s">
        <v>35</v>
      </c>
      <c r="J287" s="1">
        <v>38.12291</v>
      </c>
      <c r="K287" s="1">
        <v>-107.67303</v>
      </c>
      <c r="L287" s="2" t="s">
        <v>29</v>
      </c>
      <c r="M287" s="2" t="s">
        <v>25</v>
      </c>
      <c r="N287" s="2">
        <v>1.0</v>
      </c>
      <c r="P287" s="8">
        <f t="shared" si="1"/>
        <v>40267</v>
      </c>
    </row>
    <row r="288" ht="15.75" customHeight="1">
      <c r="A288" s="2">
        <v>2010.0</v>
      </c>
      <c r="B288" s="2">
        <v>2010.0</v>
      </c>
      <c r="C288" s="2">
        <v>3.0</v>
      </c>
      <c r="D288" s="2">
        <v>30.0</v>
      </c>
      <c r="E288" s="2" t="s">
        <v>502</v>
      </c>
      <c r="H288" s="2" t="s">
        <v>17</v>
      </c>
      <c r="I288" s="2" t="s">
        <v>49</v>
      </c>
      <c r="J288" s="1">
        <v>0.0</v>
      </c>
      <c r="K288" s="1">
        <v>0.0</v>
      </c>
      <c r="L288" s="2" t="s">
        <v>45</v>
      </c>
      <c r="M288" s="2" t="s">
        <v>46</v>
      </c>
      <c r="N288" s="2">
        <v>2.0</v>
      </c>
      <c r="P288" s="8">
        <f t="shared" si="1"/>
        <v>40267</v>
      </c>
    </row>
    <row r="289" ht="15.75" customHeight="1">
      <c r="A289" s="2">
        <v>2010.0</v>
      </c>
      <c r="B289" s="2">
        <v>2010.0</v>
      </c>
      <c r="C289" s="2">
        <v>3.0</v>
      </c>
      <c r="D289" s="2">
        <v>27.0</v>
      </c>
      <c r="E289" s="2" t="s">
        <v>503</v>
      </c>
      <c r="H289" s="2" t="s">
        <v>17</v>
      </c>
      <c r="I289" s="2" t="s">
        <v>85</v>
      </c>
      <c r="J289" s="1">
        <v>0.0</v>
      </c>
      <c r="K289" s="1">
        <v>0.0</v>
      </c>
      <c r="L289" s="2" t="s">
        <v>45</v>
      </c>
      <c r="M289" s="2" t="s">
        <v>46</v>
      </c>
      <c r="N289" s="2">
        <v>1.0</v>
      </c>
      <c r="P289" s="8">
        <f t="shared" si="1"/>
        <v>40264</v>
      </c>
    </row>
    <row r="290" ht="15.75" customHeight="1">
      <c r="A290" s="2">
        <v>2010.0</v>
      </c>
      <c r="B290" s="2">
        <v>2010.0</v>
      </c>
      <c r="C290" s="2">
        <v>3.0</v>
      </c>
      <c r="D290" s="2">
        <v>19.0</v>
      </c>
      <c r="E290" s="2" t="s">
        <v>504</v>
      </c>
      <c r="H290" s="2" t="s">
        <v>39</v>
      </c>
      <c r="I290" s="2" t="s">
        <v>35</v>
      </c>
      <c r="J290" s="1">
        <v>37.74434</v>
      </c>
      <c r="K290" s="1">
        <v>-107.10425</v>
      </c>
      <c r="L290" s="2" t="s">
        <v>41</v>
      </c>
      <c r="M290" s="2" t="s">
        <v>20</v>
      </c>
      <c r="N290" s="2">
        <v>2.0</v>
      </c>
      <c r="P290" s="8">
        <f t="shared" si="1"/>
        <v>40256</v>
      </c>
    </row>
    <row r="291" ht="15.75" customHeight="1">
      <c r="A291" s="2">
        <v>2010.0</v>
      </c>
      <c r="B291" s="2">
        <v>2010.0</v>
      </c>
      <c r="C291" s="2">
        <v>3.0</v>
      </c>
      <c r="D291" s="2">
        <v>13.0</v>
      </c>
      <c r="E291" s="2" t="s">
        <v>505</v>
      </c>
      <c r="H291" s="2" t="s">
        <v>17</v>
      </c>
      <c r="I291" s="2" t="s">
        <v>49</v>
      </c>
      <c r="J291" s="1">
        <v>0.0</v>
      </c>
      <c r="K291" s="1">
        <v>0.0</v>
      </c>
      <c r="L291" s="2" t="s">
        <v>45</v>
      </c>
      <c r="M291" s="2" t="s">
        <v>46</v>
      </c>
      <c r="N291" s="2">
        <v>1.0</v>
      </c>
      <c r="P291" s="8">
        <f t="shared" si="1"/>
        <v>40250</v>
      </c>
    </row>
    <row r="292" ht="15.75" customHeight="1">
      <c r="A292" s="2">
        <v>2010.0</v>
      </c>
      <c r="B292" s="2">
        <v>2010.0</v>
      </c>
      <c r="C292" s="2">
        <v>3.0</v>
      </c>
      <c r="D292" s="2">
        <v>12.0</v>
      </c>
      <c r="E292" s="2" t="s">
        <v>506</v>
      </c>
      <c r="H292" s="2" t="s">
        <v>17</v>
      </c>
      <c r="I292" s="2" t="s">
        <v>35</v>
      </c>
      <c r="J292" s="1">
        <v>38.32872</v>
      </c>
      <c r="K292" s="1">
        <v>-106.23696</v>
      </c>
      <c r="L292" s="2" t="s">
        <v>45</v>
      </c>
      <c r="M292" s="2" t="s">
        <v>46</v>
      </c>
      <c r="N292" s="2">
        <v>1.0</v>
      </c>
      <c r="P292" s="8">
        <f t="shared" si="1"/>
        <v>40249</v>
      </c>
    </row>
    <row r="293" ht="15.75" customHeight="1">
      <c r="A293" s="2">
        <v>2010.0</v>
      </c>
      <c r="B293" s="2">
        <v>2010.0</v>
      </c>
      <c r="C293" s="2">
        <v>3.0</v>
      </c>
      <c r="D293" s="2">
        <v>10.0</v>
      </c>
      <c r="E293" s="2" t="s">
        <v>507</v>
      </c>
      <c r="H293" s="2" t="s">
        <v>17</v>
      </c>
      <c r="I293" s="2" t="s">
        <v>35</v>
      </c>
      <c r="J293" s="1">
        <v>39.63599</v>
      </c>
      <c r="K293" s="1">
        <v>-105.88544</v>
      </c>
      <c r="L293" s="2" t="s">
        <v>24</v>
      </c>
      <c r="M293" s="2" t="s">
        <v>60</v>
      </c>
      <c r="N293" s="2">
        <v>1.0</v>
      </c>
      <c r="P293" s="8">
        <f t="shared" si="1"/>
        <v>40247</v>
      </c>
    </row>
    <row r="294" ht="15.75" customHeight="1">
      <c r="A294" s="2">
        <v>2010.0</v>
      </c>
      <c r="B294" s="2">
        <v>2010.0</v>
      </c>
      <c r="C294" s="2">
        <v>2.0</v>
      </c>
      <c r="D294" s="2">
        <v>23.0</v>
      </c>
      <c r="E294" s="2" t="s">
        <v>508</v>
      </c>
      <c r="H294" s="2" t="s">
        <v>17</v>
      </c>
      <c r="I294" s="2" t="s">
        <v>35</v>
      </c>
      <c r="J294" s="1">
        <v>39.00458</v>
      </c>
      <c r="K294" s="1">
        <v>-106.80244</v>
      </c>
      <c r="L294" s="2" t="s">
        <v>24</v>
      </c>
      <c r="M294" s="2" t="s">
        <v>25</v>
      </c>
      <c r="N294" s="2">
        <v>1.0</v>
      </c>
      <c r="P294" s="8">
        <f t="shared" si="1"/>
        <v>40232</v>
      </c>
    </row>
    <row r="295" ht="15.75" customHeight="1">
      <c r="A295" s="2">
        <v>2010.0</v>
      </c>
      <c r="B295" s="2">
        <v>2010.0</v>
      </c>
      <c r="C295" s="2">
        <v>2.0</v>
      </c>
      <c r="D295" s="2">
        <v>21.0</v>
      </c>
      <c r="E295" s="2" t="s">
        <v>509</v>
      </c>
      <c r="H295" s="9" t="s">
        <v>17</v>
      </c>
      <c r="I295" s="2" t="s">
        <v>74</v>
      </c>
      <c r="J295" s="1">
        <v>0.0</v>
      </c>
      <c r="K295" s="1">
        <v>0.0</v>
      </c>
      <c r="L295" s="2" t="s">
        <v>24</v>
      </c>
      <c r="M295" s="2" t="s">
        <v>25</v>
      </c>
      <c r="N295" s="2">
        <v>1.0</v>
      </c>
      <c r="P295" s="8">
        <f t="shared" si="1"/>
        <v>40230</v>
      </c>
    </row>
    <row r="296" ht="15.75" customHeight="1">
      <c r="A296" s="2">
        <v>2010.0</v>
      </c>
      <c r="B296" s="2">
        <v>2010.0</v>
      </c>
      <c r="C296" s="2">
        <v>2.0</v>
      </c>
      <c r="D296" s="2">
        <v>13.0</v>
      </c>
      <c r="E296" s="2" t="s">
        <v>510</v>
      </c>
      <c r="H296" s="2" t="s">
        <v>17</v>
      </c>
      <c r="I296" s="2" t="s">
        <v>28</v>
      </c>
      <c r="J296" s="1">
        <v>61.245</v>
      </c>
      <c r="K296" s="1">
        <v>-149.438</v>
      </c>
      <c r="L296" s="2" t="s">
        <v>24</v>
      </c>
      <c r="M296" s="2" t="s">
        <v>25</v>
      </c>
      <c r="N296" s="2">
        <v>1.0</v>
      </c>
      <c r="P296" s="8">
        <f t="shared" si="1"/>
        <v>40222</v>
      </c>
    </row>
    <row r="297" ht="15.75" customHeight="1">
      <c r="A297" s="2">
        <v>2010.0</v>
      </c>
      <c r="B297" s="2">
        <v>2010.0</v>
      </c>
      <c r="C297" s="2">
        <v>2.0</v>
      </c>
      <c r="D297" s="2">
        <v>13.0</v>
      </c>
      <c r="E297" s="2" t="s">
        <v>511</v>
      </c>
      <c r="H297" s="2" t="s">
        <v>17</v>
      </c>
      <c r="I297" s="2" t="s">
        <v>28</v>
      </c>
      <c r="J297" s="1">
        <v>60.63375</v>
      </c>
      <c r="K297" s="1">
        <v>-149.0722</v>
      </c>
      <c r="L297" s="2" t="s">
        <v>45</v>
      </c>
      <c r="M297" s="2" t="s">
        <v>46</v>
      </c>
      <c r="N297" s="2">
        <v>2.0</v>
      </c>
      <c r="P297" s="8">
        <f t="shared" si="1"/>
        <v>40222</v>
      </c>
    </row>
    <row r="298" ht="15.75" customHeight="1">
      <c r="A298" s="2">
        <v>2010.0</v>
      </c>
      <c r="B298" s="2">
        <v>2010.0</v>
      </c>
      <c r="C298" s="2">
        <v>2.0</v>
      </c>
      <c r="D298" s="2">
        <v>11.0</v>
      </c>
      <c r="E298" s="2" t="s">
        <v>512</v>
      </c>
      <c r="H298" s="2" t="s">
        <v>17</v>
      </c>
      <c r="I298" s="2" t="s">
        <v>35</v>
      </c>
      <c r="J298" s="1">
        <v>38.02697</v>
      </c>
      <c r="K298" s="1">
        <v>-107.76825</v>
      </c>
      <c r="L298" s="2" t="s">
        <v>24</v>
      </c>
      <c r="M298" s="2" t="s">
        <v>25</v>
      </c>
      <c r="N298" s="2">
        <v>1.0</v>
      </c>
      <c r="P298" s="8">
        <f t="shared" si="1"/>
        <v>40220</v>
      </c>
    </row>
    <row r="299" ht="15.75" customHeight="1">
      <c r="A299" s="2">
        <v>2010.0</v>
      </c>
      <c r="B299" s="2">
        <v>2010.0</v>
      </c>
      <c r="C299" s="2">
        <v>2.0</v>
      </c>
      <c r="D299" s="2">
        <v>6.0</v>
      </c>
      <c r="E299" s="2" t="s">
        <v>513</v>
      </c>
      <c r="H299" s="2" t="s">
        <v>17</v>
      </c>
      <c r="I299" s="2" t="s">
        <v>74</v>
      </c>
      <c r="J299" s="1">
        <v>0.0</v>
      </c>
      <c r="K299" s="1">
        <v>0.0</v>
      </c>
      <c r="L299" s="2" t="s">
        <v>45</v>
      </c>
      <c r="M299" s="2" t="s">
        <v>46</v>
      </c>
      <c r="N299" s="2">
        <v>1.0</v>
      </c>
      <c r="P299" s="8">
        <f t="shared" si="1"/>
        <v>40215</v>
      </c>
    </row>
    <row r="300" ht="15.75" customHeight="1">
      <c r="A300" s="2">
        <v>2010.0</v>
      </c>
      <c r="B300" s="2">
        <v>2010.0</v>
      </c>
      <c r="C300" s="2">
        <v>1.0</v>
      </c>
      <c r="D300" s="2">
        <v>30.0</v>
      </c>
      <c r="E300" s="2" t="s">
        <v>514</v>
      </c>
      <c r="H300" s="2" t="s">
        <v>17</v>
      </c>
      <c r="I300" s="2" t="s">
        <v>49</v>
      </c>
      <c r="J300" s="1">
        <v>0.0</v>
      </c>
      <c r="K300" s="1">
        <v>0.0</v>
      </c>
      <c r="L300" s="2" t="s">
        <v>45</v>
      </c>
      <c r="M300" s="2" t="s">
        <v>46</v>
      </c>
      <c r="N300" s="2">
        <v>1.0</v>
      </c>
      <c r="P300" s="8">
        <f t="shared" si="1"/>
        <v>40208</v>
      </c>
    </row>
    <row r="301" ht="15.75" customHeight="1">
      <c r="A301" s="2">
        <v>2010.0</v>
      </c>
      <c r="B301" s="2">
        <v>2010.0</v>
      </c>
      <c r="C301" s="2">
        <v>1.0</v>
      </c>
      <c r="D301" s="2">
        <v>29.0</v>
      </c>
      <c r="E301" s="2" t="s">
        <v>515</v>
      </c>
      <c r="H301" s="2" t="s">
        <v>17</v>
      </c>
      <c r="I301" s="2" t="s">
        <v>40</v>
      </c>
      <c r="J301" s="1">
        <v>0.0</v>
      </c>
      <c r="K301" s="1">
        <v>0.0</v>
      </c>
      <c r="L301" s="2" t="s">
        <v>45</v>
      </c>
      <c r="M301" s="2" t="s">
        <v>46</v>
      </c>
      <c r="N301" s="2">
        <v>1.0</v>
      </c>
      <c r="P301" s="8">
        <f t="shared" si="1"/>
        <v>40207</v>
      </c>
    </row>
    <row r="302" ht="15.75" customHeight="1">
      <c r="A302" s="2">
        <v>2010.0</v>
      </c>
      <c r="B302" s="2">
        <v>2010.0</v>
      </c>
      <c r="C302" s="2">
        <v>1.0</v>
      </c>
      <c r="D302" s="2">
        <v>28.0</v>
      </c>
      <c r="E302" s="1" t="s">
        <v>516</v>
      </c>
      <c r="H302" s="2" t="s">
        <v>17</v>
      </c>
      <c r="I302" s="2" t="s">
        <v>49</v>
      </c>
      <c r="J302" s="1">
        <v>0.0</v>
      </c>
      <c r="K302" s="1">
        <v>0.0</v>
      </c>
      <c r="L302" s="2" t="s">
        <v>45</v>
      </c>
      <c r="M302" s="2" t="s">
        <v>46</v>
      </c>
      <c r="N302" s="2">
        <v>1.0</v>
      </c>
      <c r="P302" s="8">
        <f t="shared" si="1"/>
        <v>40206</v>
      </c>
    </row>
    <row r="303" ht="15.75" customHeight="1">
      <c r="A303" s="2">
        <v>2010.0</v>
      </c>
      <c r="B303" s="2">
        <v>2010.0</v>
      </c>
      <c r="C303" s="2">
        <v>1.0</v>
      </c>
      <c r="D303" s="2">
        <v>27.0</v>
      </c>
      <c r="E303" s="2" t="s">
        <v>517</v>
      </c>
      <c r="H303" s="2" t="s">
        <v>17</v>
      </c>
      <c r="I303" s="2" t="s">
        <v>40</v>
      </c>
      <c r="J303" s="1">
        <v>0.0</v>
      </c>
      <c r="K303" s="1">
        <v>0.0</v>
      </c>
      <c r="L303" s="2" t="s">
        <v>24</v>
      </c>
      <c r="M303" s="2" t="s">
        <v>25</v>
      </c>
      <c r="N303" s="2">
        <v>1.0</v>
      </c>
      <c r="P303" s="8">
        <f t="shared" si="1"/>
        <v>40205</v>
      </c>
    </row>
    <row r="304" ht="15.75" customHeight="1">
      <c r="A304" s="2">
        <v>2010.0</v>
      </c>
      <c r="B304" s="2">
        <v>2010.0</v>
      </c>
      <c r="C304" s="2">
        <v>1.0</v>
      </c>
      <c r="D304" s="2">
        <v>24.0</v>
      </c>
      <c r="E304" s="2" t="s">
        <v>518</v>
      </c>
      <c r="H304" s="2" t="s">
        <v>17</v>
      </c>
      <c r="I304" s="2" t="s">
        <v>40</v>
      </c>
      <c r="J304" s="1">
        <v>0.0</v>
      </c>
      <c r="K304" s="1">
        <v>0.0</v>
      </c>
      <c r="L304" s="2" t="s">
        <v>24</v>
      </c>
      <c r="M304" s="2" t="s">
        <v>25</v>
      </c>
      <c r="N304" s="2">
        <v>1.0</v>
      </c>
      <c r="P304" s="8">
        <f t="shared" si="1"/>
        <v>40202</v>
      </c>
    </row>
    <row r="305" ht="15.75" customHeight="1">
      <c r="A305" s="2">
        <v>2010.0</v>
      </c>
      <c r="B305" s="2">
        <v>2010.0</v>
      </c>
      <c r="C305" s="2">
        <v>1.0</v>
      </c>
      <c r="D305" s="2">
        <v>22.0</v>
      </c>
      <c r="E305" s="2" t="s">
        <v>519</v>
      </c>
      <c r="H305" s="2" t="s">
        <v>196</v>
      </c>
      <c r="I305" s="2" t="s">
        <v>49</v>
      </c>
      <c r="J305" s="1">
        <v>0.0</v>
      </c>
      <c r="K305" s="1">
        <v>0.0</v>
      </c>
      <c r="L305" s="2" t="s">
        <v>197</v>
      </c>
      <c r="M305" s="2" t="s">
        <v>25</v>
      </c>
      <c r="N305" s="2">
        <v>1.0</v>
      </c>
      <c r="P305" s="8">
        <f t="shared" si="1"/>
        <v>40200</v>
      </c>
    </row>
    <row r="306" ht="15.75" customHeight="1">
      <c r="A306" s="2">
        <v>2010.0</v>
      </c>
      <c r="B306" s="2">
        <v>2010.0</v>
      </c>
      <c r="C306" s="2">
        <v>1.0</v>
      </c>
      <c r="D306" s="2">
        <v>6.0</v>
      </c>
      <c r="E306" s="2" t="s">
        <v>520</v>
      </c>
      <c r="H306" s="2" t="s">
        <v>17</v>
      </c>
      <c r="I306" s="2" t="s">
        <v>35</v>
      </c>
      <c r="J306" s="1">
        <v>39.5595</v>
      </c>
      <c r="K306" s="1">
        <v>-106.34039</v>
      </c>
      <c r="L306" s="2" t="s">
        <v>24</v>
      </c>
      <c r="M306" s="2" t="s">
        <v>60</v>
      </c>
      <c r="N306" s="2">
        <v>1.0</v>
      </c>
      <c r="P306" s="8">
        <f t="shared" si="1"/>
        <v>40184</v>
      </c>
    </row>
    <row r="307" ht="15.75" customHeight="1">
      <c r="A307" s="2">
        <v>2010.0</v>
      </c>
      <c r="B307" s="2">
        <v>2010.0</v>
      </c>
      <c r="C307" s="2">
        <v>1.0</v>
      </c>
      <c r="D307" s="2">
        <v>6.0</v>
      </c>
      <c r="E307" s="2" t="s">
        <v>521</v>
      </c>
      <c r="H307" s="2" t="s">
        <v>196</v>
      </c>
      <c r="I307" s="2" t="s">
        <v>74</v>
      </c>
      <c r="J307" s="1">
        <v>0.0</v>
      </c>
      <c r="K307" s="1">
        <v>0.0</v>
      </c>
      <c r="L307" s="2" t="s">
        <v>384</v>
      </c>
      <c r="M307" s="2" t="s">
        <v>25</v>
      </c>
      <c r="N307" s="2">
        <v>1.0</v>
      </c>
      <c r="P307" s="8">
        <f t="shared" si="1"/>
        <v>40184</v>
      </c>
    </row>
    <row r="308" ht="15.75" customHeight="1">
      <c r="A308" s="2">
        <v>2010.0</v>
      </c>
      <c r="B308" s="2">
        <v>2010.0</v>
      </c>
      <c r="C308" s="2">
        <v>1.0</v>
      </c>
      <c r="D308" s="2">
        <v>4.0</v>
      </c>
      <c r="E308" s="2" t="s">
        <v>522</v>
      </c>
      <c r="H308" s="2" t="s">
        <v>17</v>
      </c>
      <c r="I308" s="2" t="s">
        <v>85</v>
      </c>
      <c r="J308" s="1">
        <v>0.0</v>
      </c>
      <c r="K308" s="1">
        <v>0.0</v>
      </c>
      <c r="L308" s="2" t="s">
        <v>45</v>
      </c>
      <c r="M308" s="2" t="s">
        <v>46</v>
      </c>
      <c r="N308" s="2">
        <v>1.0</v>
      </c>
      <c r="P308" s="8">
        <f t="shared" si="1"/>
        <v>40182</v>
      </c>
    </row>
    <row r="309" ht="15.75" customHeight="1">
      <c r="A309" s="2">
        <v>2010.0</v>
      </c>
      <c r="B309" s="2">
        <v>2010.0</v>
      </c>
      <c r="C309" s="2">
        <v>1.0</v>
      </c>
      <c r="D309" s="2">
        <v>2.0</v>
      </c>
      <c r="E309" s="2" t="s">
        <v>523</v>
      </c>
      <c r="H309" s="2" t="s">
        <v>17</v>
      </c>
      <c r="I309" s="2" t="s">
        <v>59</v>
      </c>
      <c r="J309" s="1">
        <v>0.0</v>
      </c>
      <c r="K309" s="1">
        <v>0.0</v>
      </c>
      <c r="L309" s="2" t="s">
        <v>45</v>
      </c>
      <c r="M309" s="2" t="s">
        <v>46</v>
      </c>
      <c r="N309" s="2">
        <v>1.0</v>
      </c>
      <c r="P309" s="8">
        <f t="shared" si="1"/>
        <v>40180</v>
      </c>
    </row>
    <row r="310" ht="15.75" customHeight="1">
      <c r="A310" s="2">
        <v>2010.0</v>
      </c>
      <c r="B310" s="2">
        <v>2009.0</v>
      </c>
      <c r="C310" s="2">
        <v>12.0</v>
      </c>
      <c r="D310" s="2">
        <v>18.0</v>
      </c>
      <c r="E310" s="2" t="s">
        <v>524</v>
      </c>
      <c r="H310" s="2" t="s">
        <v>17</v>
      </c>
      <c r="I310" s="2" t="s">
        <v>49</v>
      </c>
      <c r="J310" s="1">
        <v>0.0</v>
      </c>
      <c r="K310" s="1">
        <v>0.0</v>
      </c>
      <c r="L310" s="2" t="s">
        <v>45</v>
      </c>
      <c r="M310" s="2" t="s">
        <v>46</v>
      </c>
      <c r="N310" s="2">
        <v>1.0</v>
      </c>
      <c r="P310" s="8">
        <f t="shared" si="1"/>
        <v>40165</v>
      </c>
    </row>
    <row r="311" ht="15.75" customHeight="1">
      <c r="A311" s="2">
        <v>2010.0</v>
      </c>
      <c r="B311" s="2">
        <v>2009.0</v>
      </c>
      <c r="C311" s="2">
        <v>12.0</v>
      </c>
      <c r="D311" s="2">
        <v>10.0</v>
      </c>
      <c r="E311" s="2" t="s">
        <v>525</v>
      </c>
      <c r="H311" s="2" t="s">
        <v>17</v>
      </c>
      <c r="I311" s="2" t="s">
        <v>85</v>
      </c>
      <c r="J311" s="1">
        <v>0.0</v>
      </c>
      <c r="K311" s="1">
        <v>0.0</v>
      </c>
      <c r="L311" s="2" t="s">
        <v>29</v>
      </c>
      <c r="M311" s="2" t="s">
        <v>20</v>
      </c>
      <c r="N311" s="2">
        <v>1.0</v>
      </c>
      <c r="P311" s="8">
        <f t="shared" si="1"/>
        <v>40157</v>
      </c>
    </row>
    <row r="312" ht="15.75" customHeight="1">
      <c r="A312" s="2">
        <v>2009.0</v>
      </c>
      <c r="B312" s="2">
        <v>2009.0</v>
      </c>
      <c r="C312" s="2">
        <v>4.0</v>
      </c>
      <c r="D312" s="2">
        <v>18.0</v>
      </c>
      <c r="E312" s="2" t="s">
        <v>526</v>
      </c>
      <c r="H312" s="2" t="s">
        <v>17</v>
      </c>
      <c r="I312" s="2" t="s">
        <v>28</v>
      </c>
      <c r="J312" s="1">
        <v>0.0</v>
      </c>
      <c r="K312" s="1">
        <v>0.0</v>
      </c>
      <c r="L312" s="2" t="s">
        <v>45</v>
      </c>
      <c r="M312" s="2" t="s">
        <v>46</v>
      </c>
      <c r="N312" s="2">
        <v>1.0</v>
      </c>
      <c r="P312" s="8">
        <f t="shared" si="1"/>
        <v>39921</v>
      </c>
    </row>
    <row r="313" ht="15.75" customHeight="1">
      <c r="A313" s="2">
        <v>2009.0</v>
      </c>
      <c r="B313" s="2">
        <v>2009.0</v>
      </c>
      <c r="C313" s="2">
        <v>4.0</v>
      </c>
      <c r="D313" s="2">
        <v>5.0</v>
      </c>
      <c r="E313" s="2" t="s">
        <v>527</v>
      </c>
      <c r="H313" s="2" t="s">
        <v>17</v>
      </c>
      <c r="I313" s="2" t="s">
        <v>49</v>
      </c>
      <c r="J313" s="1">
        <v>0.0</v>
      </c>
      <c r="K313" s="1">
        <v>0.0</v>
      </c>
      <c r="L313" s="2" t="s">
        <v>45</v>
      </c>
      <c r="M313" s="2" t="s">
        <v>46</v>
      </c>
      <c r="N313" s="2">
        <v>1.0</v>
      </c>
      <c r="P313" s="8">
        <f t="shared" si="1"/>
        <v>39908</v>
      </c>
    </row>
    <row r="314" ht="15.75" customHeight="1">
      <c r="A314" s="2">
        <v>2009.0</v>
      </c>
      <c r="B314" s="2">
        <v>2009.0</v>
      </c>
      <c r="C314" s="2">
        <v>3.0</v>
      </c>
      <c r="D314" s="2">
        <v>25.0</v>
      </c>
      <c r="E314" s="2" t="s">
        <v>528</v>
      </c>
      <c r="H314" s="2" t="s">
        <v>17</v>
      </c>
      <c r="I314" s="2" t="s">
        <v>28</v>
      </c>
      <c r="J314" s="1">
        <v>0.0</v>
      </c>
      <c r="K314" s="1">
        <v>0.0</v>
      </c>
      <c r="L314" s="2" t="s">
        <v>45</v>
      </c>
      <c r="M314" s="2" t="s">
        <v>46</v>
      </c>
      <c r="N314" s="2">
        <v>1.0</v>
      </c>
      <c r="P314" s="8">
        <f t="shared" si="1"/>
        <v>39897</v>
      </c>
    </row>
    <row r="315" ht="15.75" customHeight="1">
      <c r="A315" s="2">
        <v>2009.0</v>
      </c>
      <c r="B315" s="2">
        <v>2009.0</v>
      </c>
      <c r="C315" s="2">
        <v>3.0</v>
      </c>
      <c r="D315" s="2">
        <v>7.0</v>
      </c>
      <c r="E315" s="2" t="s">
        <v>529</v>
      </c>
      <c r="H315" s="2" t="s">
        <v>17</v>
      </c>
      <c r="I315" s="2" t="s">
        <v>59</v>
      </c>
      <c r="J315" s="1">
        <v>0.0</v>
      </c>
      <c r="K315" s="1">
        <v>0.0</v>
      </c>
      <c r="L315" s="2" t="s">
        <v>24</v>
      </c>
      <c r="M315" s="2" t="s">
        <v>25</v>
      </c>
      <c r="N315" s="2">
        <v>1.0</v>
      </c>
      <c r="P315" s="8">
        <f t="shared" si="1"/>
        <v>39879</v>
      </c>
    </row>
    <row r="316" ht="15.75" customHeight="1">
      <c r="A316" s="2">
        <v>2009.0</v>
      </c>
      <c r="B316" s="2">
        <v>2009.0</v>
      </c>
      <c r="C316" s="2">
        <v>3.0</v>
      </c>
      <c r="D316" s="2">
        <v>6.0</v>
      </c>
      <c r="E316" s="2" t="s">
        <v>530</v>
      </c>
      <c r="H316" s="2" t="s">
        <v>17</v>
      </c>
      <c r="I316" s="2" t="s">
        <v>49</v>
      </c>
      <c r="J316" s="1">
        <v>0.0</v>
      </c>
      <c r="K316" s="1">
        <v>0.0</v>
      </c>
      <c r="L316" s="2" t="s">
        <v>24</v>
      </c>
      <c r="M316" s="2" t="s">
        <v>25</v>
      </c>
      <c r="N316" s="2">
        <v>1.0</v>
      </c>
      <c r="P316" s="8">
        <f t="shared" si="1"/>
        <v>39878</v>
      </c>
    </row>
    <row r="317" ht="15.75" customHeight="1">
      <c r="A317" s="2">
        <v>2009.0</v>
      </c>
      <c r="B317" s="2">
        <v>2009.0</v>
      </c>
      <c r="C317" s="2">
        <v>3.0</v>
      </c>
      <c r="D317" s="2">
        <v>3.0</v>
      </c>
      <c r="E317" s="2" t="s">
        <v>531</v>
      </c>
      <c r="H317" s="2" t="s">
        <v>196</v>
      </c>
      <c r="I317" s="2" t="s">
        <v>18</v>
      </c>
      <c r="J317" s="1">
        <v>0.0</v>
      </c>
      <c r="K317" s="1">
        <v>0.0</v>
      </c>
      <c r="L317" s="2" t="s">
        <v>384</v>
      </c>
      <c r="M317" s="2" t="s">
        <v>25</v>
      </c>
      <c r="N317" s="2">
        <v>1.0</v>
      </c>
      <c r="P317" s="8">
        <f t="shared" si="1"/>
        <v>39875</v>
      </c>
    </row>
    <row r="318" ht="15.75" customHeight="1">
      <c r="A318" s="2">
        <v>2009.0</v>
      </c>
      <c r="B318" s="2">
        <v>2009.0</v>
      </c>
      <c r="C318" s="2">
        <v>2.0</v>
      </c>
      <c r="D318" s="2">
        <v>27.0</v>
      </c>
      <c r="E318" s="2" t="s">
        <v>532</v>
      </c>
      <c r="H318" s="2" t="s">
        <v>17</v>
      </c>
      <c r="I318" s="2" t="s">
        <v>74</v>
      </c>
      <c r="J318" s="1">
        <v>0.0</v>
      </c>
      <c r="K318" s="1">
        <v>0.0</v>
      </c>
      <c r="L318" s="2" t="s">
        <v>45</v>
      </c>
      <c r="M318" s="2" t="s">
        <v>46</v>
      </c>
      <c r="N318" s="2">
        <v>3.0</v>
      </c>
      <c r="P318" s="8">
        <f t="shared" si="1"/>
        <v>39871</v>
      </c>
    </row>
    <row r="319" ht="15.75" customHeight="1">
      <c r="A319" s="2">
        <v>2009.0</v>
      </c>
      <c r="B319" s="2">
        <v>2009.0</v>
      </c>
      <c r="C319" s="2">
        <v>2.0</v>
      </c>
      <c r="D319" s="2">
        <v>27.0</v>
      </c>
      <c r="E319" s="2" t="s">
        <v>533</v>
      </c>
      <c r="H319" s="2" t="s">
        <v>17</v>
      </c>
      <c r="I319" s="2" t="s">
        <v>49</v>
      </c>
      <c r="J319" s="1">
        <v>0.0</v>
      </c>
      <c r="K319" s="1">
        <v>0.0</v>
      </c>
      <c r="L319" s="2" t="s">
        <v>45</v>
      </c>
      <c r="M319" s="2" t="s">
        <v>46</v>
      </c>
      <c r="N319" s="2">
        <v>1.0</v>
      </c>
      <c r="P319" s="8">
        <f t="shared" si="1"/>
        <v>39871</v>
      </c>
    </row>
    <row r="320" ht="15.75" customHeight="1">
      <c r="A320" s="2">
        <v>2009.0</v>
      </c>
      <c r="B320" s="2">
        <v>2009.0</v>
      </c>
      <c r="C320" s="2">
        <v>2.0</v>
      </c>
      <c r="D320" s="2">
        <v>21.0</v>
      </c>
      <c r="E320" s="2" t="s">
        <v>534</v>
      </c>
      <c r="H320" s="2" t="s">
        <v>17</v>
      </c>
      <c r="I320" s="2" t="s">
        <v>18</v>
      </c>
      <c r="J320" s="1">
        <v>0.0</v>
      </c>
      <c r="K320" s="1">
        <v>0.0</v>
      </c>
      <c r="L320" s="2" t="s">
        <v>24</v>
      </c>
      <c r="M320" s="2" t="s">
        <v>25</v>
      </c>
      <c r="N320" s="2">
        <v>1.0</v>
      </c>
      <c r="P320" s="8">
        <f t="shared" si="1"/>
        <v>39865</v>
      </c>
    </row>
    <row r="321" ht="15.75" customHeight="1">
      <c r="A321" s="2">
        <v>2009.0</v>
      </c>
      <c r="B321" s="2">
        <v>2009.0</v>
      </c>
      <c r="C321" s="2">
        <v>1.0</v>
      </c>
      <c r="D321" s="2">
        <v>17.0</v>
      </c>
      <c r="E321" s="2" t="s">
        <v>535</v>
      </c>
      <c r="H321" s="2" t="s">
        <v>17</v>
      </c>
      <c r="I321" s="2" t="s">
        <v>85</v>
      </c>
      <c r="J321" s="1">
        <v>0.0</v>
      </c>
      <c r="K321" s="1">
        <v>0.0</v>
      </c>
      <c r="L321" s="2" t="s">
        <v>45</v>
      </c>
      <c r="M321" s="2" t="s">
        <v>46</v>
      </c>
      <c r="N321" s="2">
        <v>1.0</v>
      </c>
      <c r="P321" s="8">
        <f t="shared" si="1"/>
        <v>39830</v>
      </c>
    </row>
    <row r="322" ht="15.75" customHeight="1">
      <c r="A322" s="2">
        <v>2009.0</v>
      </c>
      <c r="B322" s="2">
        <v>2009.0</v>
      </c>
      <c r="C322" s="2">
        <v>1.0</v>
      </c>
      <c r="D322" s="2">
        <v>17.0</v>
      </c>
      <c r="E322" s="2" t="s">
        <v>536</v>
      </c>
      <c r="H322" s="2" t="s">
        <v>17</v>
      </c>
      <c r="I322" s="2" t="s">
        <v>85</v>
      </c>
      <c r="J322" s="1">
        <v>0.0</v>
      </c>
      <c r="K322" s="1">
        <v>0.0</v>
      </c>
      <c r="L322" s="2" t="s">
        <v>45</v>
      </c>
      <c r="M322" s="2" t="s">
        <v>46</v>
      </c>
      <c r="N322" s="2">
        <v>1.0</v>
      </c>
      <c r="P322" s="8">
        <f t="shared" si="1"/>
        <v>39830</v>
      </c>
    </row>
    <row r="323" ht="15.75" customHeight="1">
      <c r="A323" s="2">
        <v>2009.0</v>
      </c>
      <c r="B323" s="2">
        <v>2009.0</v>
      </c>
      <c r="C323" s="2">
        <v>1.0</v>
      </c>
      <c r="D323" s="2">
        <v>17.0</v>
      </c>
      <c r="E323" s="2" t="s">
        <v>537</v>
      </c>
      <c r="H323" s="2" t="s">
        <v>17</v>
      </c>
      <c r="I323" s="2" t="s">
        <v>85</v>
      </c>
      <c r="J323" s="1">
        <v>0.0</v>
      </c>
      <c r="K323" s="1">
        <v>0.0</v>
      </c>
      <c r="L323" s="2" t="s">
        <v>45</v>
      </c>
      <c r="M323" s="2" t="s">
        <v>46</v>
      </c>
      <c r="N323" s="2">
        <v>1.0</v>
      </c>
      <c r="P323" s="8">
        <f t="shared" si="1"/>
        <v>39830</v>
      </c>
    </row>
    <row r="324" ht="15.75" customHeight="1">
      <c r="A324" s="2">
        <v>2009.0</v>
      </c>
      <c r="B324" s="2">
        <v>2009.0</v>
      </c>
      <c r="C324" s="2">
        <v>1.0</v>
      </c>
      <c r="D324" s="2">
        <v>2.0</v>
      </c>
      <c r="E324" s="2" t="s">
        <v>538</v>
      </c>
      <c r="H324" s="2" t="s">
        <v>17</v>
      </c>
      <c r="I324" s="2" t="s">
        <v>74</v>
      </c>
      <c r="J324" s="1">
        <v>0.0</v>
      </c>
      <c r="K324" s="1">
        <v>0.0</v>
      </c>
      <c r="L324" s="2" t="s">
        <v>29</v>
      </c>
      <c r="M324" s="2" t="s">
        <v>20</v>
      </c>
      <c r="N324" s="2">
        <v>1.0</v>
      </c>
      <c r="P324" s="8">
        <f t="shared" si="1"/>
        <v>39815</v>
      </c>
    </row>
    <row r="325" ht="15.75" customHeight="1">
      <c r="A325" s="2">
        <v>2009.0</v>
      </c>
      <c r="B325" s="2">
        <v>2008.0</v>
      </c>
      <c r="C325" s="2">
        <v>12.0</v>
      </c>
      <c r="D325" s="2">
        <v>30.0</v>
      </c>
      <c r="E325" s="2" t="s">
        <v>539</v>
      </c>
      <c r="H325" s="2" t="s">
        <v>39</v>
      </c>
      <c r="I325" s="2" t="s">
        <v>77</v>
      </c>
      <c r="J325" s="1">
        <v>0.0</v>
      </c>
      <c r="K325" s="1">
        <v>0.0</v>
      </c>
      <c r="L325" s="2" t="s">
        <v>41</v>
      </c>
      <c r="M325" s="2" t="s">
        <v>20</v>
      </c>
      <c r="N325" s="2">
        <v>1.0</v>
      </c>
      <c r="P325" s="8">
        <f t="shared" si="1"/>
        <v>39812</v>
      </c>
    </row>
    <row r="326" ht="15.75" customHeight="1">
      <c r="A326" s="2">
        <v>2009.0</v>
      </c>
      <c r="B326" s="2">
        <v>2008.0</v>
      </c>
      <c r="C326" s="2">
        <v>12.0</v>
      </c>
      <c r="D326" s="2">
        <v>29.0</v>
      </c>
      <c r="E326" s="2" t="s">
        <v>540</v>
      </c>
      <c r="H326" s="2" t="s">
        <v>17</v>
      </c>
      <c r="I326" s="2" t="s">
        <v>40</v>
      </c>
      <c r="J326" s="1">
        <v>0.0</v>
      </c>
      <c r="K326" s="1">
        <v>0.0</v>
      </c>
      <c r="L326" s="2" t="s">
        <v>45</v>
      </c>
      <c r="M326" s="2" t="s">
        <v>46</v>
      </c>
      <c r="N326" s="2">
        <v>1.0</v>
      </c>
      <c r="P326" s="8">
        <f t="shared" si="1"/>
        <v>39811</v>
      </c>
    </row>
    <row r="327" ht="15.75" customHeight="1">
      <c r="A327" s="2">
        <v>2009.0</v>
      </c>
      <c r="B327" s="2">
        <v>2008.0</v>
      </c>
      <c r="C327" s="2">
        <v>12.0</v>
      </c>
      <c r="D327" s="2">
        <v>28.0</v>
      </c>
      <c r="E327" s="2" t="s">
        <v>541</v>
      </c>
      <c r="H327" s="2" t="s">
        <v>17</v>
      </c>
      <c r="I327" s="2" t="s">
        <v>77</v>
      </c>
      <c r="J327" s="1">
        <v>0.0</v>
      </c>
      <c r="K327" s="1">
        <v>0.0</v>
      </c>
      <c r="L327" s="2" t="s">
        <v>45</v>
      </c>
      <c r="M327" s="2" t="s">
        <v>46</v>
      </c>
      <c r="N327" s="2">
        <v>1.0</v>
      </c>
      <c r="P327" s="8">
        <f t="shared" si="1"/>
        <v>39810</v>
      </c>
    </row>
    <row r="328" ht="15.75" customHeight="1">
      <c r="A328" s="2">
        <v>2009.0</v>
      </c>
      <c r="B328" s="2">
        <v>2008.0</v>
      </c>
      <c r="C328" s="2">
        <v>12.0</v>
      </c>
      <c r="D328" s="2">
        <v>28.0</v>
      </c>
      <c r="E328" s="2" t="s">
        <v>542</v>
      </c>
      <c r="H328" s="2" t="s">
        <v>17</v>
      </c>
      <c r="I328" s="2" t="s">
        <v>77</v>
      </c>
      <c r="J328" s="1">
        <v>0.0</v>
      </c>
      <c r="K328" s="1">
        <v>0.0</v>
      </c>
      <c r="L328" s="2" t="s">
        <v>45</v>
      </c>
      <c r="M328" s="2" t="s">
        <v>46</v>
      </c>
      <c r="N328" s="2">
        <v>1.0</v>
      </c>
      <c r="P328" s="8">
        <f t="shared" si="1"/>
        <v>39810</v>
      </c>
    </row>
    <row r="329" ht="15.75" customHeight="1">
      <c r="A329" s="2">
        <v>2009.0</v>
      </c>
      <c r="B329" s="2">
        <v>2008.0</v>
      </c>
      <c r="C329" s="2">
        <v>12.0</v>
      </c>
      <c r="D329" s="2">
        <v>27.0</v>
      </c>
      <c r="E329" s="2" t="s">
        <v>543</v>
      </c>
      <c r="H329" s="2" t="s">
        <v>196</v>
      </c>
      <c r="I329" s="2" t="s">
        <v>74</v>
      </c>
      <c r="J329" s="1">
        <v>0.0</v>
      </c>
      <c r="K329" s="1">
        <v>0.0</v>
      </c>
      <c r="L329" s="2" t="s">
        <v>197</v>
      </c>
      <c r="M329" s="2" t="s">
        <v>25</v>
      </c>
      <c r="N329" s="2">
        <v>1.0</v>
      </c>
      <c r="P329" s="8">
        <f t="shared" si="1"/>
        <v>39809</v>
      </c>
    </row>
    <row r="330" ht="15.75" customHeight="1">
      <c r="A330" s="2">
        <v>2009.0</v>
      </c>
      <c r="B330" s="2">
        <v>2008.0</v>
      </c>
      <c r="C330" s="2">
        <v>12.0</v>
      </c>
      <c r="D330" s="2">
        <v>27.0</v>
      </c>
      <c r="E330" s="2" t="s">
        <v>544</v>
      </c>
      <c r="H330" s="2" t="s">
        <v>17</v>
      </c>
      <c r="I330" s="2" t="s">
        <v>35</v>
      </c>
      <c r="J330" s="1">
        <v>40.2676</v>
      </c>
      <c r="K330" s="1">
        <v>-105.9995</v>
      </c>
      <c r="L330" s="2" t="s">
        <v>45</v>
      </c>
      <c r="M330" s="2" t="s">
        <v>46</v>
      </c>
      <c r="N330" s="2">
        <v>2.0</v>
      </c>
      <c r="P330" s="8">
        <f t="shared" si="1"/>
        <v>39809</v>
      </c>
    </row>
    <row r="331" ht="15.75" customHeight="1">
      <c r="A331" s="2">
        <v>2009.0</v>
      </c>
      <c r="B331" s="2">
        <v>2008.0</v>
      </c>
      <c r="C331" s="2">
        <v>12.0</v>
      </c>
      <c r="D331" s="2">
        <v>25.0</v>
      </c>
      <c r="E331" s="2" t="s">
        <v>545</v>
      </c>
      <c r="H331" s="2" t="s">
        <v>196</v>
      </c>
      <c r="I331" s="2" t="s">
        <v>18</v>
      </c>
      <c r="J331" s="1">
        <v>0.0</v>
      </c>
      <c r="K331" s="1">
        <v>0.0</v>
      </c>
      <c r="L331" s="2" t="s">
        <v>197</v>
      </c>
      <c r="M331" s="2" t="s">
        <v>25</v>
      </c>
      <c r="N331" s="2">
        <v>1.0</v>
      </c>
      <c r="P331" s="8">
        <f t="shared" si="1"/>
        <v>39807</v>
      </c>
    </row>
    <row r="332" ht="15.75" customHeight="1">
      <c r="A332" s="2">
        <v>2009.0</v>
      </c>
      <c r="B332" s="2">
        <v>2008.0</v>
      </c>
      <c r="C332" s="2">
        <v>12.0</v>
      </c>
      <c r="D332" s="2">
        <v>24.0</v>
      </c>
      <c r="E332" s="2" t="s">
        <v>546</v>
      </c>
      <c r="H332" s="2" t="s">
        <v>17</v>
      </c>
      <c r="I332" s="2" t="s">
        <v>40</v>
      </c>
      <c r="J332" s="1">
        <v>0.0</v>
      </c>
      <c r="K332" s="1">
        <v>0.0</v>
      </c>
      <c r="L332" s="2" t="s">
        <v>45</v>
      </c>
      <c r="N332" s="2">
        <v>2.0</v>
      </c>
      <c r="P332" s="8">
        <f t="shared" si="1"/>
        <v>39806</v>
      </c>
    </row>
    <row r="333" ht="15.75" customHeight="1">
      <c r="A333" s="2">
        <v>2009.0</v>
      </c>
      <c r="B333" s="2">
        <v>2008.0</v>
      </c>
      <c r="C333" s="2">
        <v>12.0</v>
      </c>
      <c r="D333" s="2">
        <v>17.0</v>
      </c>
      <c r="E333" s="2" t="s">
        <v>547</v>
      </c>
      <c r="H333" s="2" t="s">
        <v>17</v>
      </c>
      <c r="I333" s="2" t="s">
        <v>35</v>
      </c>
      <c r="J333" s="1">
        <v>38.89737</v>
      </c>
      <c r="K333" s="1">
        <v>-107.01826</v>
      </c>
      <c r="L333" s="2" t="s">
        <v>24</v>
      </c>
      <c r="M333" s="2" t="s">
        <v>60</v>
      </c>
      <c r="N333" s="2">
        <v>1.0</v>
      </c>
      <c r="P333" s="8">
        <f t="shared" si="1"/>
        <v>39799</v>
      </c>
    </row>
    <row r="334" ht="15.75" customHeight="1">
      <c r="A334" s="2">
        <v>2009.0</v>
      </c>
      <c r="B334" s="2">
        <v>2008.0</v>
      </c>
      <c r="C334" s="2">
        <v>12.0</v>
      </c>
      <c r="D334" s="2">
        <v>14.0</v>
      </c>
      <c r="E334" s="2" t="s">
        <v>548</v>
      </c>
      <c r="H334" s="2" t="s">
        <v>196</v>
      </c>
      <c r="I334" s="2" t="s">
        <v>40</v>
      </c>
      <c r="J334" s="1">
        <v>0.0</v>
      </c>
      <c r="K334" s="1">
        <v>0.0</v>
      </c>
      <c r="L334" s="2" t="s">
        <v>197</v>
      </c>
      <c r="M334" s="2" t="s">
        <v>25</v>
      </c>
      <c r="N334" s="2">
        <v>1.0</v>
      </c>
      <c r="P334" s="8">
        <f t="shared" si="1"/>
        <v>39796</v>
      </c>
    </row>
    <row r="335" ht="15.75" customHeight="1">
      <c r="A335" s="2">
        <v>2009.0</v>
      </c>
      <c r="B335" s="2">
        <v>2008.0</v>
      </c>
      <c r="C335" s="2">
        <v>12.0</v>
      </c>
      <c r="D335" s="2">
        <v>14.0</v>
      </c>
      <c r="E335" s="2" t="s">
        <v>549</v>
      </c>
      <c r="H335" s="2" t="s">
        <v>17</v>
      </c>
      <c r="I335" s="2" t="s">
        <v>35</v>
      </c>
      <c r="J335" s="1">
        <v>39.13588</v>
      </c>
      <c r="K335" s="1">
        <v>-106.8024</v>
      </c>
      <c r="L335" s="2" t="s">
        <v>51</v>
      </c>
      <c r="M335" s="2" t="s">
        <v>25</v>
      </c>
      <c r="N335" s="2">
        <v>1.0</v>
      </c>
      <c r="P335" s="8">
        <f t="shared" si="1"/>
        <v>39796</v>
      </c>
    </row>
    <row r="336" ht="15.75" customHeight="1">
      <c r="A336" s="2">
        <v>2008.0</v>
      </c>
      <c r="B336" s="2">
        <v>2008.0</v>
      </c>
      <c r="C336" s="2">
        <v>4.0</v>
      </c>
      <c r="D336" s="2">
        <v>7.0</v>
      </c>
      <c r="E336" s="2" t="s">
        <v>526</v>
      </c>
      <c r="H336" s="2" t="s">
        <v>17</v>
      </c>
      <c r="I336" s="2" t="s">
        <v>28</v>
      </c>
      <c r="J336" s="1">
        <v>0.0</v>
      </c>
      <c r="K336" s="1">
        <v>0.0</v>
      </c>
      <c r="L336" s="2" t="s">
        <v>118</v>
      </c>
      <c r="M336" s="2" t="s">
        <v>20</v>
      </c>
      <c r="N336" s="2">
        <v>1.0</v>
      </c>
      <c r="P336" s="8">
        <f t="shared" si="1"/>
        <v>39545</v>
      </c>
    </row>
    <row r="337" ht="15.75" customHeight="1">
      <c r="A337" s="2">
        <v>2008.0</v>
      </c>
      <c r="B337" s="2">
        <v>2008.0</v>
      </c>
      <c r="C337" s="2">
        <v>3.0</v>
      </c>
      <c r="D337" s="2">
        <v>16.0</v>
      </c>
      <c r="E337" s="2" t="s">
        <v>550</v>
      </c>
      <c r="H337" s="2" t="s">
        <v>17</v>
      </c>
      <c r="I337" s="2" t="s">
        <v>49</v>
      </c>
      <c r="J337" s="1">
        <v>0.0</v>
      </c>
      <c r="K337" s="1">
        <v>0.0</v>
      </c>
      <c r="L337" s="2" t="s">
        <v>45</v>
      </c>
      <c r="M337" s="2" t="s">
        <v>46</v>
      </c>
      <c r="N337" s="2">
        <v>1.0</v>
      </c>
      <c r="P337" s="8">
        <f t="shared" si="1"/>
        <v>39523</v>
      </c>
    </row>
    <row r="338" ht="15.75" customHeight="1">
      <c r="A338" s="2">
        <v>2008.0</v>
      </c>
      <c r="B338" s="2">
        <v>2008.0</v>
      </c>
      <c r="C338" s="2">
        <v>3.0</v>
      </c>
      <c r="D338" s="2">
        <v>9.0</v>
      </c>
      <c r="E338" s="2" t="s">
        <v>551</v>
      </c>
      <c r="H338" s="9" t="s">
        <v>17</v>
      </c>
      <c r="I338" s="2" t="s">
        <v>28</v>
      </c>
      <c r="J338" s="1">
        <v>0.0</v>
      </c>
      <c r="K338" s="1">
        <v>0.0</v>
      </c>
      <c r="L338" s="2" t="s">
        <v>24</v>
      </c>
      <c r="M338" s="2" t="s">
        <v>25</v>
      </c>
      <c r="N338" s="2">
        <v>1.0</v>
      </c>
      <c r="P338" s="8">
        <f t="shared" si="1"/>
        <v>39516</v>
      </c>
    </row>
    <row r="339" ht="15.75" customHeight="1">
      <c r="A339" s="2">
        <v>2008.0</v>
      </c>
      <c r="B339" s="2">
        <v>2008.0</v>
      </c>
      <c r="C339" s="2">
        <v>2.0</v>
      </c>
      <c r="D339" s="2">
        <v>15.0</v>
      </c>
      <c r="E339" s="2" t="s">
        <v>552</v>
      </c>
      <c r="H339" s="9" t="s">
        <v>17</v>
      </c>
      <c r="I339" s="2" t="s">
        <v>28</v>
      </c>
      <c r="J339" s="1">
        <v>0.0</v>
      </c>
      <c r="K339" s="1">
        <v>0.0</v>
      </c>
      <c r="L339" s="2" t="s">
        <v>45</v>
      </c>
      <c r="N339" s="2">
        <v>2.0</v>
      </c>
      <c r="P339" s="8">
        <f t="shared" si="1"/>
        <v>39493</v>
      </c>
    </row>
    <row r="340" ht="15.75" customHeight="1">
      <c r="A340" s="2">
        <v>2008.0</v>
      </c>
      <c r="B340" s="2">
        <v>2008.0</v>
      </c>
      <c r="C340" s="2">
        <v>2.0</v>
      </c>
      <c r="D340" s="2">
        <v>8.0</v>
      </c>
      <c r="E340" s="2" t="s">
        <v>553</v>
      </c>
      <c r="H340" s="2" t="s">
        <v>39</v>
      </c>
      <c r="I340" s="2" t="s">
        <v>49</v>
      </c>
      <c r="J340" s="1">
        <v>0.0</v>
      </c>
      <c r="K340" s="1">
        <v>0.0</v>
      </c>
      <c r="L340" s="2" t="s">
        <v>41</v>
      </c>
      <c r="M340" s="2" t="s">
        <v>20</v>
      </c>
      <c r="N340" s="2">
        <v>1.0</v>
      </c>
      <c r="P340" s="8">
        <f t="shared" si="1"/>
        <v>39486</v>
      </c>
    </row>
    <row r="341" ht="15.75" customHeight="1">
      <c r="A341" s="2">
        <v>2008.0</v>
      </c>
      <c r="B341" s="2">
        <v>2008.0</v>
      </c>
      <c r="C341" s="2">
        <v>2.0</v>
      </c>
      <c r="D341" s="2">
        <v>1.0</v>
      </c>
      <c r="E341" s="2" t="s">
        <v>554</v>
      </c>
      <c r="H341" s="2" t="s">
        <v>17</v>
      </c>
      <c r="I341" s="2" t="s">
        <v>35</v>
      </c>
      <c r="J341" s="1">
        <v>39.79637</v>
      </c>
      <c r="K341" s="1">
        <v>-107.65328</v>
      </c>
      <c r="L341" s="2" t="s">
        <v>45</v>
      </c>
      <c r="M341" s="2" t="s">
        <v>46</v>
      </c>
      <c r="N341" s="2">
        <v>1.0</v>
      </c>
      <c r="P341" s="8">
        <f t="shared" si="1"/>
        <v>39479</v>
      </c>
    </row>
    <row r="342" ht="15.75" customHeight="1">
      <c r="A342" s="2">
        <v>2008.0</v>
      </c>
      <c r="B342" s="2">
        <v>2008.0</v>
      </c>
      <c r="C342" s="2">
        <v>1.0</v>
      </c>
      <c r="D342" s="2">
        <v>28.0</v>
      </c>
      <c r="E342" s="2" t="s">
        <v>555</v>
      </c>
      <c r="H342" s="2" t="s">
        <v>17</v>
      </c>
      <c r="I342" s="2" t="s">
        <v>18</v>
      </c>
      <c r="J342" s="1">
        <v>0.0</v>
      </c>
      <c r="K342" s="1">
        <v>0.0</v>
      </c>
      <c r="L342" s="2" t="s">
        <v>24</v>
      </c>
      <c r="M342" s="2" t="s">
        <v>25</v>
      </c>
      <c r="N342" s="2">
        <v>1.0</v>
      </c>
      <c r="P342" s="8">
        <f t="shared" si="1"/>
        <v>39475</v>
      </c>
    </row>
    <row r="343" ht="15.75" customHeight="1">
      <c r="A343" s="2">
        <v>2008.0</v>
      </c>
      <c r="B343" s="2">
        <v>2008.0</v>
      </c>
      <c r="C343" s="2">
        <v>1.0</v>
      </c>
      <c r="D343" s="2">
        <v>25.0</v>
      </c>
      <c r="E343" s="2" t="s">
        <v>556</v>
      </c>
      <c r="H343" s="2" t="s">
        <v>17</v>
      </c>
      <c r="I343" s="2" t="s">
        <v>18</v>
      </c>
      <c r="J343" s="1">
        <v>0.0</v>
      </c>
      <c r="K343" s="1">
        <v>0.0</v>
      </c>
      <c r="L343" s="2" t="s">
        <v>51</v>
      </c>
      <c r="M343" s="2" t="s">
        <v>25</v>
      </c>
      <c r="N343" s="2">
        <v>1.0</v>
      </c>
      <c r="P343" s="8">
        <f t="shared" si="1"/>
        <v>39472</v>
      </c>
    </row>
    <row r="344" ht="15.75" customHeight="1">
      <c r="A344" s="2">
        <v>2008.0</v>
      </c>
      <c r="B344" s="2">
        <v>2008.0</v>
      </c>
      <c r="C344" s="2">
        <v>1.0</v>
      </c>
      <c r="D344" s="2">
        <v>25.0</v>
      </c>
      <c r="E344" s="2" t="s">
        <v>556</v>
      </c>
      <c r="H344" s="2" t="s">
        <v>17</v>
      </c>
      <c r="I344" s="2" t="s">
        <v>18</v>
      </c>
      <c r="J344" s="1">
        <v>0.0</v>
      </c>
      <c r="K344" s="1">
        <v>0.0</v>
      </c>
      <c r="L344" s="2" t="s">
        <v>51</v>
      </c>
      <c r="M344" s="2" t="s">
        <v>25</v>
      </c>
      <c r="N344" s="2">
        <v>1.0</v>
      </c>
      <c r="P344" s="8">
        <f t="shared" si="1"/>
        <v>39472</v>
      </c>
    </row>
    <row r="345" ht="15.75" customHeight="1">
      <c r="A345" s="2">
        <v>2008.0</v>
      </c>
      <c r="B345" s="2">
        <v>2008.0</v>
      </c>
      <c r="C345" s="2">
        <v>1.0</v>
      </c>
      <c r="D345" s="2">
        <v>25.0</v>
      </c>
      <c r="E345" s="2" t="s">
        <v>556</v>
      </c>
      <c r="H345" s="2" t="s">
        <v>17</v>
      </c>
      <c r="I345" s="2" t="s">
        <v>18</v>
      </c>
      <c r="J345" s="1">
        <v>0.0</v>
      </c>
      <c r="K345" s="1">
        <v>0.0</v>
      </c>
      <c r="L345" s="2" t="s">
        <v>51</v>
      </c>
      <c r="M345" s="2" t="s">
        <v>25</v>
      </c>
      <c r="N345" s="2">
        <v>1.0</v>
      </c>
      <c r="P345" s="8">
        <f t="shared" si="1"/>
        <v>39472</v>
      </c>
    </row>
    <row r="346" ht="15.75" customHeight="1">
      <c r="A346" s="2">
        <v>2008.0</v>
      </c>
      <c r="B346" s="2">
        <v>2008.0</v>
      </c>
      <c r="C346" s="2">
        <v>1.0</v>
      </c>
      <c r="D346" s="2">
        <v>20.0</v>
      </c>
      <c r="E346" s="2" t="s">
        <v>557</v>
      </c>
      <c r="H346" s="2" t="s">
        <v>17</v>
      </c>
      <c r="I346" s="2" t="s">
        <v>85</v>
      </c>
      <c r="J346" s="1">
        <v>0.0</v>
      </c>
      <c r="K346" s="1">
        <v>0.0</v>
      </c>
      <c r="L346" s="2" t="s">
        <v>24</v>
      </c>
      <c r="M346" s="2" t="s">
        <v>25</v>
      </c>
      <c r="N346" s="2">
        <v>1.0</v>
      </c>
      <c r="P346" s="8">
        <f t="shared" si="1"/>
        <v>39467</v>
      </c>
    </row>
    <row r="347" ht="15.75" customHeight="1">
      <c r="A347" s="2">
        <v>2008.0</v>
      </c>
      <c r="B347" s="2">
        <v>2008.0</v>
      </c>
      <c r="C347" s="2">
        <v>1.0</v>
      </c>
      <c r="D347" s="2">
        <v>18.0</v>
      </c>
      <c r="E347" s="2" t="s">
        <v>431</v>
      </c>
      <c r="H347" s="2" t="s">
        <v>17</v>
      </c>
      <c r="I347" s="2" t="s">
        <v>166</v>
      </c>
      <c r="J347" s="1">
        <v>0.0</v>
      </c>
      <c r="K347" s="1">
        <v>0.0</v>
      </c>
      <c r="L347" s="2" t="s">
        <v>29</v>
      </c>
      <c r="N347" s="2">
        <v>1.0</v>
      </c>
      <c r="P347" s="8">
        <f t="shared" si="1"/>
        <v>39465</v>
      </c>
    </row>
    <row r="348" ht="15.75" customHeight="1">
      <c r="A348" s="2">
        <v>2008.0</v>
      </c>
      <c r="B348" s="2">
        <v>2008.0</v>
      </c>
      <c r="C348" s="2">
        <v>1.0</v>
      </c>
      <c r="D348" s="2">
        <v>13.0</v>
      </c>
      <c r="E348" s="2" t="s">
        <v>558</v>
      </c>
      <c r="H348" s="2" t="s">
        <v>17</v>
      </c>
      <c r="I348" s="2" t="s">
        <v>85</v>
      </c>
      <c r="J348" s="1">
        <v>0.0</v>
      </c>
      <c r="K348" s="1">
        <v>0.0</v>
      </c>
      <c r="L348" s="2" t="s">
        <v>51</v>
      </c>
      <c r="M348" s="2" t="s">
        <v>25</v>
      </c>
      <c r="N348" s="2">
        <v>2.0</v>
      </c>
      <c r="P348" s="8">
        <f t="shared" si="1"/>
        <v>39460</v>
      </c>
    </row>
    <row r="349" ht="15.75" customHeight="1">
      <c r="A349" s="2">
        <v>2008.0</v>
      </c>
      <c r="B349" s="2">
        <v>2008.0</v>
      </c>
      <c r="C349" s="2">
        <v>1.0</v>
      </c>
      <c r="D349" s="2">
        <v>12.0</v>
      </c>
      <c r="E349" s="9" t="s">
        <v>559</v>
      </c>
      <c r="H349" s="2" t="s">
        <v>17</v>
      </c>
      <c r="I349" s="2" t="s">
        <v>35</v>
      </c>
      <c r="J349" s="1">
        <v>39.59875</v>
      </c>
      <c r="K349" s="1">
        <v>-106.29621</v>
      </c>
      <c r="L349" s="2" t="s">
        <v>51</v>
      </c>
      <c r="M349" s="2" t="s">
        <v>25</v>
      </c>
      <c r="N349" s="2">
        <v>1.0</v>
      </c>
      <c r="P349" s="8">
        <f t="shared" si="1"/>
        <v>39459</v>
      </c>
    </row>
    <row r="350" ht="15.75" customHeight="1">
      <c r="A350" s="2">
        <v>2008.0</v>
      </c>
      <c r="B350" s="2">
        <v>2008.0</v>
      </c>
      <c r="C350" s="2">
        <v>1.0</v>
      </c>
      <c r="D350" s="2">
        <v>12.0</v>
      </c>
      <c r="E350" s="2" t="s">
        <v>560</v>
      </c>
      <c r="H350" s="9" t="s">
        <v>17</v>
      </c>
      <c r="I350" s="2" t="s">
        <v>74</v>
      </c>
      <c r="J350" s="1">
        <v>0.0</v>
      </c>
      <c r="K350" s="1">
        <v>0.0</v>
      </c>
      <c r="L350" s="2" t="s">
        <v>45</v>
      </c>
      <c r="M350" s="2" t="s">
        <v>46</v>
      </c>
      <c r="N350" s="2">
        <v>3.0</v>
      </c>
      <c r="P350" s="8">
        <f t="shared" si="1"/>
        <v>39459</v>
      </c>
    </row>
    <row r="351" ht="15.75" customHeight="1">
      <c r="A351" s="2">
        <v>2008.0</v>
      </c>
      <c r="B351" s="2">
        <v>2008.0</v>
      </c>
      <c r="C351" s="2">
        <v>1.0</v>
      </c>
      <c r="D351" s="2">
        <v>10.0</v>
      </c>
      <c r="E351" s="2" t="s">
        <v>561</v>
      </c>
      <c r="H351" s="9" t="s">
        <v>17</v>
      </c>
      <c r="I351" s="2" t="s">
        <v>35</v>
      </c>
      <c r="J351" s="1">
        <v>37.56332394</v>
      </c>
      <c r="K351" s="1">
        <v>-105.503296</v>
      </c>
      <c r="L351" s="2" t="s">
        <v>29</v>
      </c>
      <c r="N351" s="2">
        <v>1.0</v>
      </c>
      <c r="P351" s="8">
        <f t="shared" si="1"/>
        <v>39457</v>
      </c>
    </row>
    <row r="352" ht="15.75" customHeight="1">
      <c r="A352" s="2">
        <v>2008.0</v>
      </c>
      <c r="B352" s="2">
        <v>2008.0</v>
      </c>
      <c r="C352" s="2">
        <v>1.0</v>
      </c>
      <c r="D352" s="2">
        <v>4.0</v>
      </c>
      <c r="E352" s="2" t="s">
        <v>562</v>
      </c>
      <c r="H352" s="2" t="s">
        <v>17</v>
      </c>
      <c r="I352" s="2" t="s">
        <v>77</v>
      </c>
      <c r="J352" s="1">
        <v>0.0</v>
      </c>
      <c r="K352" s="1">
        <v>0.0</v>
      </c>
      <c r="L352" s="2" t="s">
        <v>19</v>
      </c>
      <c r="M352" s="2" t="s">
        <v>20</v>
      </c>
      <c r="N352" s="2">
        <v>1.0</v>
      </c>
      <c r="P352" s="8">
        <f t="shared" si="1"/>
        <v>39451</v>
      </c>
    </row>
    <row r="353" ht="15.75" customHeight="1">
      <c r="A353" s="2">
        <v>2008.0</v>
      </c>
      <c r="B353" s="2">
        <v>2008.0</v>
      </c>
      <c r="C353" s="2">
        <v>1.0</v>
      </c>
      <c r="D353" s="2">
        <v>4.0</v>
      </c>
      <c r="E353" s="9" t="s">
        <v>563</v>
      </c>
      <c r="H353" s="2" t="s">
        <v>17</v>
      </c>
      <c r="I353" s="2" t="s">
        <v>35</v>
      </c>
      <c r="J353" s="1">
        <v>39.602776406</v>
      </c>
      <c r="K353" s="1">
        <v>-106.298302</v>
      </c>
      <c r="L353" s="2" t="s">
        <v>51</v>
      </c>
      <c r="M353" s="2" t="s">
        <v>60</v>
      </c>
      <c r="N353" s="2">
        <v>1.0</v>
      </c>
      <c r="P353" s="8">
        <f t="shared" si="1"/>
        <v>39451</v>
      </c>
    </row>
    <row r="354" ht="15.75" customHeight="1">
      <c r="A354" s="2">
        <v>2008.0</v>
      </c>
      <c r="B354" s="2">
        <v>2008.0</v>
      </c>
      <c r="C354" s="2">
        <v>1.0</v>
      </c>
      <c r="D354" s="2">
        <v>3.0</v>
      </c>
      <c r="E354" s="2" t="s">
        <v>564</v>
      </c>
      <c r="H354" s="2" t="s">
        <v>39</v>
      </c>
      <c r="I354" s="2" t="s">
        <v>565</v>
      </c>
      <c r="J354" s="1">
        <v>0.0</v>
      </c>
      <c r="K354" s="1">
        <v>0.0</v>
      </c>
      <c r="L354" s="2" t="s">
        <v>41</v>
      </c>
      <c r="M354" s="2" t="s">
        <v>20</v>
      </c>
      <c r="N354" s="2">
        <v>1.0</v>
      </c>
      <c r="P354" s="8">
        <f t="shared" si="1"/>
        <v>39450</v>
      </c>
    </row>
    <row r="355" ht="15.75" customHeight="1">
      <c r="A355" s="2">
        <v>2008.0</v>
      </c>
      <c r="B355" s="2">
        <v>2008.0</v>
      </c>
      <c r="C355" s="2">
        <v>1.0</v>
      </c>
      <c r="D355" s="2">
        <v>2.0</v>
      </c>
      <c r="E355" s="2" t="s">
        <v>566</v>
      </c>
      <c r="H355" s="2" t="s">
        <v>17</v>
      </c>
      <c r="I355" s="2" t="s">
        <v>74</v>
      </c>
      <c r="J355" s="1">
        <v>0.0</v>
      </c>
      <c r="K355" s="1">
        <v>0.0</v>
      </c>
      <c r="L355" s="2" t="s">
        <v>45</v>
      </c>
      <c r="M355" s="2" t="s">
        <v>46</v>
      </c>
      <c r="N355" s="2">
        <v>1.0</v>
      </c>
      <c r="P355" s="8">
        <f t="shared" si="1"/>
        <v>39449</v>
      </c>
    </row>
    <row r="356" ht="15.75" customHeight="1">
      <c r="A356" s="2">
        <v>2008.0</v>
      </c>
      <c r="B356" s="2">
        <v>2008.0</v>
      </c>
      <c r="C356" s="2">
        <v>1.0</v>
      </c>
      <c r="D356" s="2">
        <v>1.0</v>
      </c>
      <c r="E356" s="2" t="s">
        <v>567</v>
      </c>
      <c r="H356" s="2" t="s">
        <v>17</v>
      </c>
      <c r="I356" s="2" t="s">
        <v>77</v>
      </c>
      <c r="J356" s="1">
        <v>0.0</v>
      </c>
      <c r="K356" s="1">
        <v>0.0</v>
      </c>
      <c r="L356" s="2" t="s">
        <v>45</v>
      </c>
      <c r="N356" s="2">
        <v>2.0</v>
      </c>
      <c r="P356" s="8">
        <f t="shared" si="1"/>
        <v>39448</v>
      </c>
    </row>
    <row r="357" ht="15.75" customHeight="1">
      <c r="A357" s="2">
        <v>2008.0</v>
      </c>
      <c r="B357" s="2">
        <v>2007.0</v>
      </c>
      <c r="C357" s="2">
        <v>12.0</v>
      </c>
      <c r="D357" s="2">
        <v>31.0</v>
      </c>
      <c r="E357" s="2" t="s">
        <v>568</v>
      </c>
      <c r="H357" s="2" t="s">
        <v>17</v>
      </c>
      <c r="I357" s="2" t="s">
        <v>40</v>
      </c>
      <c r="J357" s="1">
        <v>0.0</v>
      </c>
      <c r="K357" s="1">
        <v>0.0</v>
      </c>
      <c r="L357" s="2" t="s">
        <v>45</v>
      </c>
      <c r="M357" s="2" t="s">
        <v>46</v>
      </c>
      <c r="N357" s="2">
        <v>1.0</v>
      </c>
      <c r="P357" s="8">
        <f t="shared" si="1"/>
        <v>39447</v>
      </c>
    </row>
    <row r="358" ht="15.75" customHeight="1">
      <c r="A358" s="2">
        <v>2008.0</v>
      </c>
      <c r="B358" s="2">
        <v>2007.0</v>
      </c>
      <c r="C358" s="2">
        <v>12.0</v>
      </c>
      <c r="D358" s="2">
        <v>25.0</v>
      </c>
      <c r="E358" s="2" t="s">
        <v>569</v>
      </c>
      <c r="H358" s="2" t="s">
        <v>17</v>
      </c>
      <c r="I358" s="2" t="s">
        <v>40</v>
      </c>
      <c r="J358" s="1">
        <v>0.0</v>
      </c>
      <c r="K358" s="1">
        <v>0.0</v>
      </c>
      <c r="L358" s="2" t="s">
        <v>45</v>
      </c>
      <c r="M358" s="2" t="s">
        <v>46</v>
      </c>
      <c r="N358" s="2">
        <v>1.0</v>
      </c>
      <c r="P358" s="8">
        <f t="shared" si="1"/>
        <v>39441</v>
      </c>
    </row>
    <row r="359" ht="15.75" customHeight="1">
      <c r="A359" s="2">
        <v>2008.0</v>
      </c>
      <c r="B359" s="2">
        <v>2007.0</v>
      </c>
      <c r="C359" s="2">
        <v>12.0</v>
      </c>
      <c r="D359" s="2">
        <v>23.0</v>
      </c>
      <c r="E359" s="2" t="s">
        <v>570</v>
      </c>
      <c r="H359" s="2" t="s">
        <v>196</v>
      </c>
      <c r="I359" s="2" t="s">
        <v>40</v>
      </c>
      <c r="J359" s="1">
        <v>0.0</v>
      </c>
      <c r="K359" s="1">
        <v>0.0</v>
      </c>
      <c r="L359" s="2" t="s">
        <v>197</v>
      </c>
      <c r="M359" s="2" t="s">
        <v>25</v>
      </c>
      <c r="N359" s="2">
        <v>1.0</v>
      </c>
      <c r="P359" s="8">
        <f t="shared" si="1"/>
        <v>39439</v>
      </c>
    </row>
    <row r="360" ht="15.75" customHeight="1">
      <c r="A360" s="2">
        <v>2008.0</v>
      </c>
      <c r="B360" s="2">
        <v>2007.0</v>
      </c>
      <c r="C360" s="2">
        <v>12.0</v>
      </c>
      <c r="D360" s="2">
        <v>18.0</v>
      </c>
      <c r="E360" s="2" t="s">
        <v>571</v>
      </c>
      <c r="H360" s="9" t="s">
        <v>17</v>
      </c>
      <c r="I360" s="2" t="s">
        <v>77</v>
      </c>
      <c r="J360" s="1">
        <v>0.0</v>
      </c>
      <c r="K360" s="1">
        <v>0.0</v>
      </c>
      <c r="L360" s="2" t="s">
        <v>19</v>
      </c>
      <c r="M360" s="2" t="s">
        <v>103</v>
      </c>
      <c r="N360" s="2">
        <v>1.0</v>
      </c>
      <c r="P360" s="8">
        <f t="shared" si="1"/>
        <v>39434</v>
      </c>
    </row>
    <row r="361" ht="15.75" customHeight="1">
      <c r="A361" s="2">
        <v>2008.0</v>
      </c>
      <c r="B361" s="2">
        <v>2007.0</v>
      </c>
      <c r="C361" s="2">
        <v>12.0</v>
      </c>
      <c r="D361" s="2">
        <v>2.0</v>
      </c>
      <c r="E361" s="2" t="s">
        <v>572</v>
      </c>
      <c r="H361" s="2" t="s">
        <v>17</v>
      </c>
      <c r="I361" s="2" t="s">
        <v>77</v>
      </c>
      <c r="J361" s="1">
        <v>0.0</v>
      </c>
      <c r="K361" s="1">
        <v>0.0</v>
      </c>
      <c r="L361" s="2" t="s">
        <v>24</v>
      </c>
      <c r="M361" s="2" t="s">
        <v>573</v>
      </c>
      <c r="N361" s="2">
        <v>3.0</v>
      </c>
      <c r="P361" s="8">
        <f t="shared" si="1"/>
        <v>39418</v>
      </c>
    </row>
    <row r="362" ht="15.75" customHeight="1">
      <c r="A362" s="2">
        <v>2008.0</v>
      </c>
      <c r="B362" s="2">
        <v>2007.0</v>
      </c>
      <c r="C362" s="2">
        <v>12.0</v>
      </c>
      <c r="D362" s="2">
        <v>2.0</v>
      </c>
      <c r="E362" s="2" t="s">
        <v>574</v>
      </c>
      <c r="H362" s="2" t="s">
        <v>17</v>
      </c>
      <c r="I362" s="2" t="s">
        <v>77</v>
      </c>
      <c r="J362" s="1">
        <v>0.0</v>
      </c>
      <c r="K362" s="1">
        <v>0.0</v>
      </c>
      <c r="L362" s="2" t="s">
        <v>19</v>
      </c>
      <c r="M362" s="2" t="s">
        <v>103</v>
      </c>
      <c r="N362" s="2">
        <v>2.0</v>
      </c>
      <c r="P362" s="8">
        <f t="shared" si="1"/>
        <v>39418</v>
      </c>
    </row>
    <row r="363" ht="15.75" customHeight="1">
      <c r="A363" s="2">
        <v>2008.0</v>
      </c>
      <c r="B363" s="2">
        <v>2007.0</v>
      </c>
      <c r="C363" s="2">
        <v>12.0</v>
      </c>
      <c r="D363" s="2">
        <v>2.0</v>
      </c>
      <c r="E363" s="2" t="s">
        <v>575</v>
      </c>
      <c r="H363" s="9" t="s">
        <v>17</v>
      </c>
      <c r="I363" s="2" t="s">
        <v>35</v>
      </c>
      <c r="J363" s="1">
        <v>40.523520469</v>
      </c>
      <c r="K363" s="1">
        <v>-105.873138</v>
      </c>
      <c r="L363" s="2" t="s">
        <v>19</v>
      </c>
      <c r="M363" s="2" t="s">
        <v>103</v>
      </c>
      <c r="N363" s="2">
        <v>1.0</v>
      </c>
      <c r="P363" s="8">
        <f t="shared" si="1"/>
        <v>39418</v>
      </c>
    </row>
    <row r="364" ht="15.75" customHeight="1">
      <c r="A364" s="2">
        <v>2007.0</v>
      </c>
      <c r="B364" s="2">
        <v>2007.0</v>
      </c>
      <c r="C364" s="2">
        <v>3.0</v>
      </c>
      <c r="D364" s="2">
        <v>13.0</v>
      </c>
      <c r="E364" s="2" t="s">
        <v>576</v>
      </c>
      <c r="H364" s="2" t="s">
        <v>17</v>
      </c>
      <c r="I364" s="2" t="s">
        <v>35</v>
      </c>
      <c r="J364" s="1">
        <v>39.100218794</v>
      </c>
      <c r="K364" s="1">
        <v>-106.731148</v>
      </c>
      <c r="L364" s="2" t="s">
        <v>24</v>
      </c>
      <c r="M364" s="2" t="s">
        <v>60</v>
      </c>
      <c r="N364" s="2">
        <v>1.0</v>
      </c>
      <c r="P364" s="8">
        <f t="shared" si="1"/>
        <v>39154</v>
      </c>
    </row>
    <row r="365" ht="15.75" customHeight="1">
      <c r="A365" s="2">
        <v>2007.0</v>
      </c>
      <c r="B365" s="2">
        <v>2007.0</v>
      </c>
      <c r="C365" s="2">
        <v>3.0</v>
      </c>
      <c r="D365" s="2">
        <v>13.0</v>
      </c>
      <c r="E365" s="2" t="s">
        <v>576</v>
      </c>
      <c r="H365" s="2" t="s">
        <v>17</v>
      </c>
      <c r="I365" s="2" t="s">
        <v>35</v>
      </c>
      <c r="J365" s="1">
        <v>39.100218794</v>
      </c>
      <c r="K365" s="1">
        <v>-106.731148</v>
      </c>
      <c r="L365" s="2" t="s">
        <v>24</v>
      </c>
      <c r="M365" s="2" t="s">
        <v>25</v>
      </c>
      <c r="N365" s="2">
        <v>1.0</v>
      </c>
      <c r="P365" s="8">
        <f t="shared" si="1"/>
        <v>39154</v>
      </c>
    </row>
    <row r="366" ht="15.75" customHeight="1">
      <c r="A366" s="2">
        <v>2007.0</v>
      </c>
      <c r="B366" s="2">
        <v>2007.0</v>
      </c>
      <c r="C366" s="2">
        <v>3.0</v>
      </c>
      <c r="D366" s="2">
        <v>10.0</v>
      </c>
      <c r="E366" s="2" t="s">
        <v>577</v>
      </c>
      <c r="H366" s="2" t="s">
        <v>17</v>
      </c>
      <c r="I366" s="2" t="s">
        <v>49</v>
      </c>
      <c r="J366" s="1">
        <v>0.0</v>
      </c>
      <c r="K366" s="1">
        <v>0.0</v>
      </c>
      <c r="L366" s="2" t="s">
        <v>24</v>
      </c>
      <c r="M366" s="2" t="s">
        <v>25</v>
      </c>
      <c r="N366" s="2">
        <v>1.0</v>
      </c>
      <c r="P366" s="8">
        <f t="shared" si="1"/>
        <v>39151</v>
      </c>
    </row>
    <row r="367" ht="15.75" customHeight="1">
      <c r="A367" s="2">
        <v>2007.0</v>
      </c>
      <c r="B367" s="2">
        <v>2007.0</v>
      </c>
      <c r="C367" s="2">
        <v>3.0</v>
      </c>
      <c r="D367" s="2">
        <v>3.0</v>
      </c>
      <c r="E367" s="2" t="s">
        <v>578</v>
      </c>
      <c r="H367" s="2" t="s">
        <v>17</v>
      </c>
      <c r="I367" s="2" t="s">
        <v>85</v>
      </c>
      <c r="J367" s="1">
        <v>0.0</v>
      </c>
      <c r="K367" s="1">
        <v>0.0</v>
      </c>
      <c r="L367" s="2" t="s">
        <v>24</v>
      </c>
      <c r="M367" s="2" t="s">
        <v>25</v>
      </c>
      <c r="N367" s="2">
        <v>1.0</v>
      </c>
      <c r="P367" s="8">
        <f t="shared" si="1"/>
        <v>39144</v>
      </c>
    </row>
    <row r="368" ht="15.75" customHeight="1">
      <c r="A368" s="2">
        <v>2007.0</v>
      </c>
      <c r="B368" s="2">
        <v>2007.0</v>
      </c>
      <c r="C368" s="2">
        <v>3.0</v>
      </c>
      <c r="D368" s="2">
        <v>3.0</v>
      </c>
      <c r="E368" s="2" t="s">
        <v>579</v>
      </c>
      <c r="H368" s="2" t="s">
        <v>17</v>
      </c>
      <c r="I368" s="2" t="s">
        <v>35</v>
      </c>
      <c r="J368" s="1">
        <v>39.64455</v>
      </c>
      <c r="K368" s="1">
        <v>-105.58999</v>
      </c>
      <c r="L368" s="2" t="s">
        <v>24</v>
      </c>
      <c r="M368" s="2" t="s">
        <v>103</v>
      </c>
      <c r="N368" s="2">
        <v>1.0</v>
      </c>
      <c r="P368" s="8">
        <f t="shared" si="1"/>
        <v>39144</v>
      </c>
    </row>
    <row r="369" ht="15.75" customHeight="1">
      <c r="A369" s="2">
        <v>2007.0</v>
      </c>
      <c r="B369" s="2">
        <v>2007.0</v>
      </c>
      <c r="C369" s="2">
        <v>2.0</v>
      </c>
      <c r="D369" s="2">
        <v>24.0</v>
      </c>
      <c r="E369" s="2" t="s">
        <v>580</v>
      </c>
      <c r="H369" s="9" t="s">
        <v>17</v>
      </c>
      <c r="I369" s="2" t="s">
        <v>77</v>
      </c>
      <c r="J369" s="1">
        <v>0.0</v>
      </c>
      <c r="K369" s="1">
        <v>0.0</v>
      </c>
      <c r="L369" s="2" t="s">
        <v>51</v>
      </c>
      <c r="M369" s="2" t="s">
        <v>25</v>
      </c>
      <c r="N369" s="2">
        <v>1.0</v>
      </c>
      <c r="P369" s="8">
        <f t="shared" si="1"/>
        <v>39137</v>
      </c>
    </row>
    <row r="370" ht="15.75" customHeight="1">
      <c r="A370" s="2">
        <v>2007.0</v>
      </c>
      <c r="B370" s="2">
        <v>2007.0</v>
      </c>
      <c r="C370" s="2">
        <v>2.0</v>
      </c>
      <c r="D370" s="2">
        <v>20.0</v>
      </c>
      <c r="E370" s="2" t="s">
        <v>581</v>
      </c>
      <c r="H370" s="2" t="s">
        <v>17</v>
      </c>
      <c r="I370" s="2" t="s">
        <v>40</v>
      </c>
      <c r="J370" s="1">
        <v>0.0</v>
      </c>
      <c r="K370" s="1">
        <v>0.0</v>
      </c>
      <c r="L370" s="2" t="s">
        <v>24</v>
      </c>
      <c r="M370" s="2" t="s">
        <v>25</v>
      </c>
      <c r="N370" s="2">
        <v>1.0</v>
      </c>
      <c r="P370" s="8">
        <f t="shared" si="1"/>
        <v>39133</v>
      </c>
    </row>
    <row r="371" ht="15.75" customHeight="1">
      <c r="A371" s="2">
        <v>2007.0</v>
      </c>
      <c r="B371" s="2">
        <v>2007.0</v>
      </c>
      <c r="C371" s="2">
        <v>2.0</v>
      </c>
      <c r="D371" s="2">
        <v>18.0</v>
      </c>
      <c r="E371" s="2" t="s">
        <v>582</v>
      </c>
      <c r="H371" s="2" t="s">
        <v>17</v>
      </c>
      <c r="I371" s="2" t="s">
        <v>40</v>
      </c>
      <c r="J371" s="1">
        <v>0.0</v>
      </c>
      <c r="K371" s="1">
        <v>0.0</v>
      </c>
      <c r="L371" s="2" t="s">
        <v>51</v>
      </c>
      <c r="M371" s="2" t="s">
        <v>25</v>
      </c>
      <c r="N371" s="2">
        <v>1.0</v>
      </c>
      <c r="P371" s="8">
        <f t="shared" si="1"/>
        <v>39131</v>
      </c>
    </row>
    <row r="372" ht="15.75" customHeight="1">
      <c r="A372" s="2">
        <v>2007.0</v>
      </c>
      <c r="B372" s="2">
        <v>2007.0</v>
      </c>
      <c r="C372" s="2">
        <v>2.0</v>
      </c>
      <c r="D372" s="2">
        <v>17.0</v>
      </c>
      <c r="E372" s="2" t="s">
        <v>583</v>
      </c>
      <c r="H372" s="2" t="s">
        <v>17</v>
      </c>
      <c r="I372" s="2" t="s">
        <v>40</v>
      </c>
      <c r="J372" s="1">
        <v>0.0</v>
      </c>
      <c r="K372" s="1">
        <v>0.0</v>
      </c>
      <c r="L372" s="2" t="s">
        <v>45</v>
      </c>
      <c r="N372" s="2">
        <v>1.0</v>
      </c>
      <c r="P372" s="8">
        <f t="shared" si="1"/>
        <v>39130</v>
      </c>
    </row>
    <row r="373" ht="15.75" customHeight="1">
      <c r="A373" s="2">
        <v>2007.0</v>
      </c>
      <c r="B373" s="2">
        <v>2007.0</v>
      </c>
      <c r="C373" s="2">
        <v>2.0</v>
      </c>
      <c r="D373" s="2">
        <v>17.0</v>
      </c>
      <c r="E373" s="2" t="s">
        <v>584</v>
      </c>
      <c r="H373" s="2" t="s">
        <v>17</v>
      </c>
      <c r="I373" s="2" t="s">
        <v>40</v>
      </c>
      <c r="J373" s="1">
        <v>0.0</v>
      </c>
      <c r="K373" s="1">
        <v>0.0</v>
      </c>
      <c r="L373" s="2" t="s">
        <v>45</v>
      </c>
      <c r="N373" s="2">
        <v>1.0</v>
      </c>
      <c r="P373" s="8">
        <f t="shared" si="1"/>
        <v>39130</v>
      </c>
    </row>
    <row r="374" ht="15.75" customHeight="1">
      <c r="A374" s="2">
        <v>2007.0</v>
      </c>
      <c r="B374" s="2">
        <v>2007.0</v>
      </c>
      <c r="C374" s="2">
        <v>2.0</v>
      </c>
      <c r="D374" s="2">
        <v>17.0</v>
      </c>
      <c r="E374" s="2" t="s">
        <v>585</v>
      </c>
      <c r="H374" s="2" t="s">
        <v>17</v>
      </c>
      <c r="I374" s="2" t="s">
        <v>85</v>
      </c>
      <c r="J374" s="1">
        <v>0.0</v>
      </c>
      <c r="K374" s="1">
        <v>0.0</v>
      </c>
      <c r="L374" s="2" t="s">
        <v>45</v>
      </c>
      <c r="M374" s="2" t="s">
        <v>46</v>
      </c>
      <c r="N374" s="2">
        <v>2.0</v>
      </c>
      <c r="P374" s="8">
        <f t="shared" si="1"/>
        <v>39130</v>
      </c>
    </row>
    <row r="375" ht="15.75" customHeight="1">
      <c r="A375" s="2">
        <v>2007.0</v>
      </c>
      <c r="B375" s="2">
        <v>2007.0</v>
      </c>
      <c r="C375" s="2">
        <v>2.0</v>
      </c>
      <c r="D375" s="2">
        <v>17.0</v>
      </c>
      <c r="E375" s="2" t="s">
        <v>586</v>
      </c>
      <c r="H375" s="2" t="s">
        <v>17</v>
      </c>
      <c r="I375" s="2" t="s">
        <v>49</v>
      </c>
      <c r="J375" s="1">
        <v>0.0</v>
      </c>
      <c r="K375" s="1">
        <v>0.0</v>
      </c>
      <c r="L375" s="2" t="s">
        <v>45</v>
      </c>
      <c r="N375" s="2">
        <v>1.0</v>
      </c>
      <c r="P375" s="8">
        <f t="shared" si="1"/>
        <v>39130</v>
      </c>
    </row>
    <row r="376" ht="15.75" customHeight="1">
      <c r="A376" s="2">
        <v>2007.0</v>
      </c>
      <c r="B376" s="2">
        <v>2007.0</v>
      </c>
      <c r="C376" s="2">
        <v>2.0</v>
      </c>
      <c r="D376" s="2">
        <v>4.0</v>
      </c>
      <c r="E376" s="2" t="s">
        <v>587</v>
      </c>
      <c r="H376" s="2" t="s">
        <v>17</v>
      </c>
      <c r="I376" s="2" t="s">
        <v>35</v>
      </c>
      <c r="J376" s="1">
        <v>37.484934842</v>
      </c>
      <c r="K376" s="1">
        <v>-106.541466</v>
      </c>
      <c r="L376" s="2" t="s">
        <v>45</v>
      </c>
      <c r="N376" s="2">
        <v>1.0</v>
      </c>
      <c r="P376" s="8">
        <f t="shared" si="1"/>
        <v>39117</v>
      </c>
    </row>
    <row r="377" ht="15.75" customHeight="1">
      <c r="A377" s="2">
        <v>2007.0</v>
      </c>
      <c r="B377" s="2">
        <v>2007.0</v>
      </c>
      <c r="C377" s="2">
        <v>1.0</v>
      </c>
      <c r="D377" s="2">
        <v>5.0</v>
      </c>
      <c r="E377" s="2" t="s">
        <v>543</v>
      </c>
      <c r="H377" s="2" t="s">
        <v>17</v>
      </c>
      <c r="I377" s="2" t="s">
        <v>74</v>
      </c>
      <c r="J377" s="1">
        <v>0.0</v>
      </c>
      <c r="K377" s="1">
        <v>0.0</v>
      </c>
      <c r="L377" s="2" t="s">
        <v>51</v>
      </c>
      <c r="M377" s="2" t="s">
        <v>25</v>
      </c>
      <c r="N377" s="2">
        <v>1.0</v>
      </c>
      <c r="P377" s="8">
        <f t="shared" si="1"/>
        <v>39087</v>
      </c>
    </row>
    <row r="378" ht="15.75" customHeight="1">
      <c r="A378" s="2">
        <v>2007.0</v>
      </c>
      <c r="B378" s="2">
        <v>2007.0</v>
      </c>
      <c r="C378" s="2">
        <v>1.0</v>
      </c>
      <c r="D378" s="2">
        <v>1.0</v>
      </c>
      <c r="E378" s="2" t="s">
        <v>588</v>
      </c>
      <c r="H378" s="2" t="s">
        <v>17</v>
      </c>
      <c r="I378" s="2" t="s">
        <v>85</v>
      </c>
      <c r="J378" s="1">
        <v>0.0</v>
      </c>
      <c r="K378" s="1">
        <v>0.0</v>
      </c>
      <c r="L378" s="2" t="s">
        <v>45</v>
      </c>
      <c r="N378" s="2">
        <v>1.0</v>
      </c>
      <c r="P378" s="8">
        <f t="shared" si="1"/>
        <v>39083</v>
      </c>
    </row>
    <row r="379" ht="15.75" customHeight="1">
      <c r="A379" s="2">
        <v>2007.0</v>
      </c>
      <c r="B379" s="2">
        <v>2006.0</v>
      </c>
      <c r="C379" s="2">
        <v>12.0</v>
      </c>
      <c r="D379" s="2">
        <v>28.0</v>
      </c>
      <c r="E379" s="2" t="s">
        <v>589</v>
      </c>
      <c r="H379" s="2" t="s">
        <v>17</v>
      </c>
      <c r="I379" s="2" t="s">
        <v>85</v>
      </c>
      <c r="J379" s="1">
        <v>0.0</v>
      </c>
      <c r="K379" s="1">
        <v>0.0</v>
      </c>
      <c r="L379" s="2" t="s">
        <v>45</v>
      </c>
      <c r="N379" s="2">
        <v>1.0</v>
      </c>
      <c r="P379" s="8">
        <f t="shared" si="1"/>
        <v>39079</v>
      </c>
    </row>
    <row r="380" ht="15.75" customHeight="1">
      <c r="A380" s="2">
        <v>2007.0</v>
      </c>
      <c r="B380" s="2">
        <v>2006.0</v>
      </c>
      <c r="C380" s="2">
        <v>12.0</v>
      </c>
      <c r="D380" s="2">
        <v>21.0</v>
      </c>
      <c r="E380" s="2" t="s">
        <v>590</v>
      </c>
      <c r="H380" s="2" t="s">
        <v>196</v>
      </c>
      <c r="I380" s="2" t="s">
        <v>35</v>
      </c>
      <c r="J380" s="1">
        <v>39.174177938</v>
      </c>
      <c r="K380" s="1">
        <v>-106.944435</v>
      </c>
      <c r="L380" s="2" t="s">
        <v>197</v>
      </c>
      <c r="M380" s="2" t="s">
        <v>25</v>
      </c>
      <c r="N380" s="2">
        <v>1.0</v>
      </c>
      <c r="P380" s="8">
        <f t="shared" si="1"/>
        <v>39072</v>
      </c>
    </row>
    <row r="381" ht="15.75" customHeight="1">
      <c r="A381" s="2">
        <v>2007.0</v>
      </c>
      <c r="B381" s="2">
        <v>2006.0</v>
      </c>
      <c r="C381" s="2">
        <v>12.0</v>
      </c>
      <c r="D381" s="2">
        <v>16.0</v>
      </c>
      <c r="E381" s="2" t="s">
        <v>591</v>
      </c>
      <c r="H381" s="2" t="s">
        <v>17</v>
      </c>
      <c r="I381" s="2" t="s">
        <v>74</v>
      </c>
      <c r="J381" s="1">
        <v>0.0</v>
      </c>
      <c r="K381" s="1">
        <v>0.0</v>
      </c>
      <c r="L381" s="2" t="s">
        <v>45</v>
      </c>
      <c r="N381" s="2">
        <v>1.0</v>
      </c>
      <c r="P381" s="8">
        <f t="shared" si="1"/>
        <v>39067</v>
      </c>
    </row>
    <row r="382" ht="15.75" customHeight="1">
      <c r="A382" s="2">
        <v>2007.0</v>
      </c>
      <c r="B382" s="2">
        <v>2006.0</v>
      </c>
      <c r="C382" s="2">
        <v>12.0</v>
      </c>
      <c r="D382" s="2">
        <v>16.0</v>
      </c>
      <c r="E382" s="2" t="s">
        <v>592</v>
      </c>
      <c r="H382" s="2" t="s">
        <v>17</v>
      </c>
      <c r="I382" s="2" t="s">
        <v>85</v>
      </c>
      <c r="J382" s="1">
        <v>0.0</v>
      </c>
      <c r="K382" s="1">
        <v>0.0</v>
      </c>
      <c r="L382" s="2" t="s">
        <v>45</v>
      </c>
      <c r="N382" s="2">
        <v>1.0</v>
      </c>
      <c r="P382" s="8">
        <f t="shared" si="1"/>
        <v>39067</v>
      </c>
    </row>
    <row r="383" ht="15.75" customHeight="1">
      <c r="A383" s="2">
        <v>2006.0</v>
      </c>
      <c r="B383" s="2">
        <v>2006.0</v>
      </c>
      <c r="C383" s="2">
        <v>4.0</v>
      </c>
      <c r="D383" s="2">
        <v>29.0</v>
      </c>
      <c r="E383" s="2" t="s">
        <v>593</v>
      </c>
      <c r="H383" s="2" t="s">
        <v>17</v>
      </c>
      <c r="I383" s="2" t="s">
        <v>49</v>
      </c>
      <c r="J383" s="1">
        <v>0.0</v>
      </c>
      <c r="K383" s="1">
        <v>0.0</v>
      </c>
      <c r="L383" s="2" t="s">
        <v>24</v>
      </c>
      <c r="M383" s="2" t="s">
        <v>25</v>
      </c>
      <c r="N383" s="2">
        <v>1.0</v>
      </c>
      <c r="P383" s="8">
        <f t="shared" si="1"/>
        <v>38836</v>
      </c>
    </row>
    <row r="384" ht="15.75" customHeight="1">
      <c r="A384" s="2">
        <v>2006.0</v>
      </c>
      <c r="B384" s="2">
        <v>2006.0</v>
      </c>
      <c r="C384" s="2">
        <v>4.0</v>
      </c>
      <c r="D384" s="2">
        <v>18.0</v>
      </c>
      <c r="E384" s="2" t="s">
        <v>594</v>
      </c>
      <c r="H384" s="2" t="s">
        <v>17</v>
      </c>
      <c r="I384" s="2" t="s">
        <v>77</v>
      </c>
      <c r="J384" s="1">
        <v>0.0</v>
      </c>
      <c r="K384" s="1">
        <v>0.0</v>
      </c>
      <c r="L384" s="2" t="s">
        <v>51</v>
      </c>
      <c r="M384" s="2" t="s">
        <v>25</v>
      </c>
      <c r="N384" s="2">
        <v>1.0</v>
      </c>
      <c r="P384" s="8">
        <f t="shared" si="1"/>
        <v>38825</v>
      </c>
    </row>
    <row r="385" ht="15.75" customHeight="1">
      <c r="A385" s="2">
        <v>2006.0</v>
      </c>
      <c r="B385" s="2">
        <v>2006.0</v>
      </c>
      <c r="C385" s="2">
        <v>4.0</v>
      </c>
      <c r="D385" s="2">
        <v>8.0</v>
      </c>
      <c r="E385" s="2" t="s">
        <v>595</v>
      </c>
      <c r="H385" s="2" t="s">
        <v>17</v>
      </c>
      <c r="I385" s="2" t="s">
        <v>49</v>
      </c>
      <c r="J385" s="1">
        <v>0.0</v>
      </c>
      <c r="K385" s="1">
        <v>0.0</v>
      </c>
      <c r="L385" s="2" t="s">
        <v>45</v>
      </c>
      <c r="M385" s="2" t="s">
        <v>46</v>
      </c>
      <c r="N385" s="2">
        <v>1.0</v>
      </c>
      <c r="P385" s="8">
        <f t="shared" si="1"/>
        <v>38815</v>
      </c>
    </row>
    <row r="386" ht="15.75" customHeight="1">
      <c r="A386" s="2">
        <v>2006.0</v>
      </c>
      <c r="B386" s="2">
        <v>2006.0</v>
      </c>
      <c r="C386" s="2">
        <v>4.0</v>
      </c>
      <c r="D386" s="2">
        <v>3.0</v>
      </c>
      <c r="E386" s="2" t="s">
        <v>596</v>
      </c>
      <c r="H386" s="2" t="s">
        <v>17</v>
      </c>
      <c r="I386" s="2" t="s">
        <v>40</v>
      </c>
      <c r="J386" s="1">
        <v>0.0</v>
      </c>
      <c r="K386" s="1">
        <v>0.0</v>
      </c>
      <c r="L386" s="2" t="s">
        <v>51</v>
      </c>
      <c r="M386" s="2" t="s">
        <v>25</v>
      </c>
      <c r="N386" s="2">
        <v>1.0</v>
      </c>
      <c r="P386" s="8">
        <f t="shared" si="1"/>
        <v>38810</v>
      </c>
    </row>
    <row r="387" ht="15.75" customHeight="1">
      <c r="A387" s="2">
        <v>2006.0</v>
      </c>
      <c r="B387" s="2">
        <v>2006.0</v>
      </c>
      <c r="C387" s="2">
        <v>4.0</v>
      </c>
      <c r="D387" s="2">
        <v>2.0</v>
      </c>
      <c r="E387" s="2" t="s">
        <v>597</v>
      </c>
      <c r="H387" s="2" t="s">
        <v>17</v>
      </c>
      <c r="I387" s="2" t="s">
        <v>49</v>
      </c>
      <c r="J387" s="1">
        <v>0.0</v>
      </c>
      <c r="K387" s="1">
        <v>0.0</v>
      </c>
      <c r="L387" s="2" t="s">
        <v>45</v>
      </c>
      <c r="N387" s="2">
        <v>1.0</v>
      </c>
      <c r="P387" s="8">
        <f t="shared" si="1"/>
        <v>38809</v>
      </c>
    </row>
    <row r="388" ht="15.75" customHeight="1">
      <c r="A388" s="2">
        <v>2006.0</v>
      </c>
      <c r="B388" s="2">
        <v>2006.0</v>
      </c>
      <c r="C388" s="2">
        <v>3.0</v>
      </c>
      <c r="D388" s="2">
        <v>19.0</v>
      </c>
      <c r="E388" s="2" t="s">
        <v>598</v>
      </c>
      <c r="H388" s="2" t="s">
        <v>17</v>
      </c>
      <c r="I388" s="2" t="s">
        <v>77</v>
      </c>
      <c r="J388" s="1">
        <v>0.0</v>
      </c>
      <c r="K388" s="1">
        <v>0.0</v>
      </c>
      <c r="L388" s="2" t="s">
        <v>45</v>
      </c>
      <c r="N388" s="2">
        <v>1.0</v>
      </c>
      <c r="P388" s="8">
        <f t="shared" si="1"/>
        <v>38795</v>
      </c>
    </row>
    <row r="389" ht="15.75" customHeight="1">
      <c r="A389" s="2">
        <v>2006.0</v>
      </c>
      <c r="B389" s="2">
        <v>2006.0</v>
      </c>
      <c r="C389" s="2">
        <v>3.0</v>
      </c>
      <c r="D389" s="2">
        <v>11.0</v>
      </c>
      <c r="E389" s="2" t="s">
        <v>599</v>
      </c>
      <c r="H389" s="2" t="s">
        <v>17</v>
      </c>
      <c r="I389" s="2" t="s">
        <v>40</v>
      </c>
      <c r="J389" s="1">
        <v>0.0</v>
      </c>
      <c r="K389" s="1">
        <v>0.0</v>
      </c>
      <c r="L389" s="2" t="s">
        <v>51</v>
      </c>
      <c r="M389" s="2" t="s">
        <v>25</v>
      </c>
      <c r="N389" s="2">
        <v>1.0</v>
      </c>
      <c r="P389" s="8">
        <f t="shared" si="1"/>
        <v>38787</v>
      </c>
    </row>
    <row r="390" ht="15.75" customHeight="1">
      <c r="A390" s="2">
        <v>2006.0</v>
      </c>
      <c r="B390" s="2">
        <v>2006.0</v>
      </c>
      <c r="C390" s="2">
        <v>3.0</v>
      </c>
      <c r="D390" s="2">
        <v>1.0</v>
      </c>
      <c r="E390" s="2" t="s">
        <v>600</v>
      </c>
      <c r="H390" s="2" t="s">
        <v>17</v>
      </c>
      <c r="I390" s="2" t="s">
        <v>49</v>
      </c>
      <c r="J390" s="1">
        <v>0.0</v>
      </c>
      <c r="K390" s="1">
        <v>0.0</v>
      </c>
      <c r="L390" s="2" t="s">
        <v>45</v>
      </c>
      <c r="N390" s="2">
        <v>1.0</v>
      </c>
      <c r="P390" s="8">
        <f t="shared" si="1"/>
        <v>38777</v>
      </c>
    </row>
    <row r="391" ht="15.75" customHeight="1">
      <c r="A391" s="2">
        <v>2006.0</v>
      </c>
      <c r="B391" s="2">
        <v>2006.0</v>
      </c>
      <c r="C391" s="2">
        <v>2.0</v>
      </c>
      <c r="D391" s="2">
        <v>28.0</v>
      </c>
      <c r="E391" s="2" t="s">
        <v>601</v>
      </c>
      <c r="H391" s="2" t="s">
        <v>17</v>
      </c>
      <c r="I391" s="2" t="s">
        <v>28</v>
      </c>
      <c r="J391" s="1">
        <v>0.0</v>
      </c>
      <c r="K391" s="1">
        <v>0.0</v>
      </c>
      <c r="L391" s="2" t="s">
        <v>45</v>
      </c>
      <c r="N391" s="2">
        <v>1.0</v>
      </c>
      <c r="P391" s="8">
        <f t="shared" si="1"/>
        <v>38776</v>
      </c>
    </row>
    <row r="392" ht="15.75" customHeight="1">
      <c r="A392" s="2">
        <v>2006.0</v>
      </c>
      <c r="B392" s="2">
        <v>2006.0</v>
      </c>
      <c r="C392" s="2">
        <v>2.0</v>
      </c>
      <c r="D392" s="2">
        <v>14.0</v>
      </c>
      <c r="E392" s="2" t="s">
        <v>602</v>
      </c>
      <c r="H392" s="2" t="s">
        <v>17</v>
      </c>
      <c r="I392" s="2" t="s">
        <v>28</v>
      </c>
      <c r="J392" s="1">
        <v>0.0</v>
      </c>
      <c r="K392" s="1">
        <v>0.0</v>
      </c>
      <c r="L392" s="2" t="s">
        <v>45</v>
      </c>
      <c r="N392" s="2">
        <v>1.0</v>
      </c>
      <c r="P392" s="8">
        <f t="shared" si="1"/>
        <v>38762</v>
      </c>
    </row>
    <row r="393" ht="15.75" customHeight="1">
      <c r="A393" s="2">
        <v>2006.0</v>
      </c>
      <c r="B393" s="2">
        <v>2006.0</v>
      </c>
      <c r="C393" s="2">
        <v>2.0</v>
      </c>
      <c r="D393" s="2">
        <v>8.0</v>
      </c>
      <c r="E393" s="2" t="s">
        <v>603</v>
      </c>
      <c r="H393" s="9" t="s">
        <v>17</v>
      </c>
      <c r="I393" s="2" t="s">
        <v>28</v>
      </c>
      <c r="J393" s="1">
        <v>0.0</v>
      </c>
      <c r="K393" s="1">
        <v>0.0</v>
      </c>
      <c r="L393" s="2" t="s">
        <v>19</v>
      </c>
      <c r="M393" s="2" t="s">
        <v>103</v>
      </c>
      <c r="N393" s="2">
        <v>1.0</v>
      </c>
      <c r="P393" s="8">
        <f t="shared" si="1"/>
        <v>38756</v>
      </c>
    </row>
    <row r="394" ht="15.75" customHeight="1">
      <c r="A394" s="2">
        <v>2006.0</v>
      </c>
      <c r="B394" s="2">
        <v>2006.0</v>
      </c>
      <c r="C394" s="2">
        <v>2.0</v>
      </c>
      <c r="D394" s="2">
        <v>1.0</v>
      </c>
      <c r="E394" s="2" t="s">
        <v>604</v>
      </c>
      <c r="H394" s="2" t="s">
        <v>17</v>
      </c>
      <c r="I394" s="2" t="s">
        <v>18</v>
      </c>
      <c r="J394" s="1">
        <v>0.0</v>
      </c>
      <c r="K394" s="1">
        <v>0.0</v>
      </c>
      <c r="L394" s="2" t="s">
        <v>24</v>
      </c>
      <c r="M394" s="2" t="s">
        <v>25</v>
      </c>
      <c r="N394" s="2">
        <v>1.0</v>
      </c>
      <c r="P394" s="8">
        <f t="shared" si="1"/>
        <v>38749</v>
      </c>
    </row>
    <row r="395" ht="15.75" customHeight="1">
      <c r="A395" s="2">
        <v>2006.0</v>
      </c>
      <c r="B395" s="2">
        <v>2006.0</v>
      </c>
      <c r="C395" s="2">
        <v>1.0</v>
      </c>
      <c r="D395" s="2">
        <v>14.0</v>
      </c>
      <c r="E395" s="2" t="s">
        <v>605</v>
      </c>
      <c r="H395" s="2" t="s">
        <v>17</v>
      </c>
      <c r="I395" s="2" t="s">
        <v>85</v>
      </c>
      <c r="J395" s="1">
        <v>0.0</v>
      </c>
      <c r="K395" s="1">
        <v>0.0</v>
      </c>
      <c r="L395" s="2" t="s">
        <v>45</v>
      </c>
      <c r="N395" s="2">
        <v>2.0</v>
      </c>
      <c r="P395" s="8">
        <f t="shared" si="1"/>
        <v>38731</v>
      </c>
    </row>
    <row r="396" ht="15.75" customHeight="1">
      <c r="A396" s="2">
        <v>2006.0</v>
      </c>
      <c r="B396" s="2">
        <v>2006.0</v>
      </c>
      <c r="C396" s="2">
        <v>1.0</v>
      </c>
      <c r="D396" s="2">
        <v>6.0</v>
      </c>
      <c r="E396" s="2" t="s">
        <v>606</v>
      </c>
      <c r="H396" s="2" t="s">
        <v>17</v>
      </c>
      <c r="I396" s="2" t="s">
        <v>85</v>
      </c>
      <c r="J396" s="1">
        <v>0.0</v>
      </c>
      <c r="K396" s="1">
        <v>0.0</v>
      </c>
      <c r="L396" s="2" t="s">
        <v>45</v>
      </c>
      <c r="N396" s="2">
        <v>1.0</v>
      </c>
      <c r="P396" s="8">
        <f t="shared" si="1"/>
        <v>38723</v>
      </c>
    </row>
    <row r="397" ht="15.75" customHeight="1">
      <c r="A397" s="2">
        <v>2006.0</v>
      </c>
      <c r="B397" s="2">
        <v>2006.0</v>
      </c>
      <c r="C397" s="2">
        <v>1.0</v>
      </c>
      <c r="D397" s="2">
        <v>5.0</v>
      </c>
      <c r="E397" s="2" t="s">
        <v>607</v>
      </c>
      <c r="H397" s="2" t="s">
        <v>17</v>
      </c>
      <c r="I397" s="2" t="s">
        <v>74</v>
      </c>
      <c r="J397" s="1">
        <v>0.0</v>
      </c>
      <c r="K397" s="1">
        <v>0.0</v>
      </c>
      <c r="L397" s="2" t="s">
        <v>24</v>
      </c>
      <c r="M397" s="2" t="s">
        <v>25</v>
      </c>
      <c r="N397" s="2">
        <v>1.0</v>
      </c>
      <c r="P397" s="8">
        <f t="shared" si="1"/>
        <v>38722</v>
      </c>
    </row>
    <row r="398" ht="15.75" customHeight="1">
      <c r="A398" s="2">
        <v>2006.0</v>
      </c>
      <c r="B398" s="2">
        <v>2006.0</v>
      </c>
      <c r="C398" s="2">
        <v>1.0</v>
      </c>
      <c r="D398" s="2">
        <v>5.0</v>
      </c>
      <c r="E398" s="2" t="s">
        <v>608</v>
      </c>
      <c r="H398" s="2" t="s">
        <v>17</v>
      </c>
      <c r="I398" s="2" t="s">
        <v>85</v>
      </c>
      <c r="J398" s="1">
        <v>0.0</v>
      </c>
      <c r="K398" s="1">
        <v>0.0</v>
      </c>
      <c r="L398" s="2" t="s">
        <v>45</v>
      </c>
      <c r="N398" s="2">
        <v>1.0</v>
      </c>
      <c r="P398" s="8">
        <f t="shared" si="1"/>
        <v>38722</v>
      </c>
    </row>
    <row r="399" ht="15.75" customHeight="1">
      <c r="A399" s="2">
        <v>2006.0</v>
      </c>
      <c r="B399" s="2">
        <v>2006.0</v>
      </c>
      <c r="C399" s="2">
        <v>1.0</v>
      </c>
      <c r="D399" s="2">
        <v>3.0</v>
      </c>
      <c r="E399" s="2" t="s">
        <v>609</v>
      </c>
      <c r="H399" s="2" t="s">
        <v>17</v>
      </c>
      <c r="I399" s="2" t="s">
        <v>28</v>
      </c>
      <c r="J399" s="1">
        <v>0.0</v>
      </c>
      <c r="K399" s="1">
        <v>0.0</v>
      </c>
      <c r="L399" s="2" t="s">
        <v>24</v>
      </c>
      <c r="M399" s="2" t="s">
        <v>25</v>
      </c>
      <c r="N399" s="2">
        <v>1.0</v>
      </c>
      <c r="P399" s="8">
        <f t="shared" si="1"/>
        <v>38720</v>
      </c>
    </row>
    <row r="400" ht="15.75" customHeight="1">
      <c r="A400" s="2">
        <v>2006.0</v>
      </c>
      <c r="B400" s="2">
        <v>2006.0</v>
      </c>
      <c r="C400" s="2">
        <v>1.0</v>
      </c>
      <c r="D400" s="2">
        <v>1.0</v>
      </c>
      <c r="E400" s="2" t="s">
        <v>610</v>
      </c>
      <c r="H400" s="2" t="s">
        <v>17</v>
      </c>
      <c r="I400" s="2" t="s">
        <v>35</v>
      </c>
      <c r="J400" s="1">
        <v>40.518233536</v>
      </c>
      <c r="K400" s="1">
        <v>-105.84417</v>
      </c>
      <c r="L400" s="2" t="s">
        <v>45</v>
      </c>
      <c r="M400" s="2" t="s">
        <v>46</v>
      </c>
      <c r="N400" s="2">
        <v>2.0</v>
      </c>
      <c r="P400" s="8">
        <f t="shared" si="1"/>
        <v>38718</v>
      </c>
    </row>
    <row r="401" ht="15.75" customHeight="1">
      <c r="A401" s="2">
        <v>2006.0</v>
      </c>
      <c r="B401" s="2">
        <v>2005.0</v>
      </c>
      <c r="C401" s="2">
        <v>12.0</v>
      </c>
      <c r="D401" s="2">
        <v>31.0</v>
      </c>
      <c r="E401" s="2" t="s">
        <v>611</v>
      </c>
      <c r="H401" s="2" t="s">
        <v>17</v>
      </c>
      <c r="I401" s="2" t="s">
        <v>40</v>
      </c>
      <c r="J401" s="1">
        <v>0.0</v>
      </c>
      <c r="K401" s="1">
        <v>0.0</v>
      </c>
      <c r="L401" s="2" t="s">
        <v>19</v>
      </c>
      <c r="M401" s="2" t="s">
        <v>103</v>
      </c>
      <c r="N401" s="2">
        <v>1.0</v>
      </c>
      <c r="P401" s="8">
        <f t="shared" si="1"/>
        <v>38717</v>
      </c>
    </row>
    <row r="402" ht="15.75" customHeight="1">
      <c r="A402" s="2">
        <v>2006.0</v>
      </c>
      <c r="B402" s="2">
        <v>2005.0</v>
      </c>
      <c r="C402" s="2">
        <v>12.0</v>
      </c>
      <c r="D402" s="2">
        <v>27.0</v>
      </c>
      <c r="E402" s="2" t="s">
        <v>612</v>
      </c>
      <c r="H402" s="2" t="s">
        <v>17</v>
      </c>
      <c r="I402" s="2" t="s">
        <v>74</v>
      </c>
      <c r="J402" s="1">
        <v>0.0</v>
      </c>
      <c r="K402" s="1">
        <v>0.0</v>
      </c>
      <c r="L402" s="2" t="s">
        <v>45</v>
      </c>
      <c r="N402" s="2">
        <v>1.0</v>
      </c>
      <c r="P402" s="8">
        <f t="shared" si="1"/>
        <v>38713</v>
      </c>
    </row>
    <row r="403" ht="15.75" customHeight="1">
      <c r="A403" s="2">
        <v>2006.0</v>
      </c>
      <c r="B403" s="2">
        <v>2005.0</v>
      </c>
      <c r="C403" s="2">
        <v>12.0</v>
      </c>
      <c r="D403" s="2">
        <v>22.0</v>
      </c>
      <c r="E403" s="2" t="s">
        <v>361</v>
      </c>
      <c r="H403" s="2" t="s">
        <v>17</v>
      </c>
      <c r="I403" s="2" t="s">
        <v>35</v>
      </c>
      <c r="J403" s="1">
        <v>39.649978631</v>
      </c>
      <c r="K403" s="1">
        <v>-105.796799</v>
      </c>
      <c r="L403" s="2" t="s">
        <v>19</v>
      </c>
      <c r="N403" s="2">
        <v>1.0</v>
      </c>
      <c r="P403" s="8">
        <f t="shared" si="1"/>
        <v>38708</v>
      </c>
    </row>
    <row r="404" ht="15.75" customHeight="1">
      <c r="A404" s="2">
        <v>2006.0</v>
      </c>
      <c r="B404" s="2">
        <v>2005.0</v>
      </c>
      <c r="C404" s="2">
        <v>11.0</v>
      </c>
      <c r="D404" s="2">
        <v>6.0</v>
      </c>
      <c r="E404" s="2" t="s">
        <v>613</v>
      </c>
      <c r="H404" s="2" t="s">
        <v>17</v>
      </c>
      <c r="I404" s="2" t="s">
        <v>35</v>
      </c>
      <c r="J404" s="1">
        <v>39.799766685</v>
      </c>
      <c r="K404" s="1">
        <v>-105.765465</v>
      </c>
      <c r="L404" s="2" t="s">
        <v>24</v>
      </c>
      <c r="M404" s="2" t="s">
        <v>25</v>
      </c>
      <c r="N404" s="2">
        <v>1.0</v>
      </c>
      <c r="P404" s="8">
        <f t="shared" si="1"/>
        <v>38662</v>
      </c>
    </row>
    <row r="405" ht="15.75" customHeight="1">
      <c r="A405" s="2">
        <v>2005.0</v>
      </c>
      <c r="B405" s="2">
        <v>2005.0</v>
      </c>
      <c r="C405" s="2">
        <v>7.0</v>
      </c>
      <c r="D405" s="2">
        <v>2.0</v>
      </c>
      <c r="E405" s="2" t="s">
        <v>614</v>
      </c>
      <c r="H405" s="2" t="s">
        <v>17</v>
      </c>
      <c r="I405" s="2" t="s">
        <v>49</v>
      </c>
      <c r="J405" s="1">
        <v>0.0</v>
      </c>
      <c r="K405" s="1">
        <v>0.0</v>
      </c>
      <c r="L405" s="2" t="s">
        <v>24</v>
      </c>
      <c r="M405" s="2" t="s">
        <v>60</v>
      </c>
      <c r="N405" s="2">
        <v>1.0</v>
      </c>
      <c r="P405" s="8">
        <f t="shared" si="1"/>
        <v>38535</v>
      </c>
    </row>
    <row r="406" ht="15.75" customHeight="1">
      <c r="A406" s="2">
        <v>2005.0</v>
      </c>
      <c r="B406" s="2">
        <v>2005.0</v>
      </c>
      <c r="C406" s="2">
        <v>5.0</v>
      </c>
      <c r="D406" s="2">
        <v>20.0</v>
      </c>
      <c r="E406" s="2" t="s">
        <v>615</v>
      </c>
      <c r="H406" s="2" t="s">
        <v>196</v>
      </c>
      <c r="I406" s="2" t="s">
        <v>35</v>
      </c>
      <c r="J406" s="1">
        <v>39.635703455</v>
      </c>
      <c r="K406" s="1">
        <v>-105.878418</v>
      </c>
      <c r="L406" s="2" t="s">
        <v>197</v>
      </c>
      <c r="M406" s="2" t="s">
        <v>25</v>
      </c>
      <c r="N406" s="2">
        <v>1.0</v>
      </c>
      <c r="P406" s="8">
        <f t="shared" si="1"/>
        <v>38492</v>
      </c>
    </row>
    <row r="407" ht="15.75" customHeight="1">
      <c r="A407" s="2">
        <v>2005.0</v>
      </c>
      <c r="B407" s="2">
        <v>2005.0</v>
      </c>
      <c r="C407" s="2">
        <v>4.0</v>
      </c>
      <c r="D407" s="2">
        <v>1.0</v>
      </c>
      <c r="E407" s="2" t="s">
        <v>616</v>
      </c>
      <c r="H407" s="2" t="s">
        <v>17</v>
      </c>
      <c r="I407" s="2" t="s">
        <v>35</v>
      </c>
      <c r="J407" s="1">
        <v>39.054440584</v>
      </c>
      <c r="K407" s="1">
        <v>-108.052078004</v>
      </c>
      <c r="L407" s="2" t="s">
        <v>24</v>
      </c>
      <c r="M407" s="2" t="s">
        <v>25</v>
      </c>
      <c r="N407" s="2">
        <v>1.0</v>
      </c>
      <c r="P407" s="8">
        <f t="shared" si="1"/>
        <v>38443</v>
      </c>
    </row>
    <row r="408" ht="15.75" customHeight="1">
      <c r="A408" s="2">
        <v>2005.0</v>
      </c>
      <c r="B408" s="2">
        <v>2005.0</v>
      </c>
      <c r="C408" s="2">
        <v>4.0</v>
      </c>
      <c r="D408" s="2">
        <v>1.0</v>
      </c>
      <c r="E408" s="2" t="s">
        <v>617</v>
      </c>
      <c r="H408" s="2" t="s">
        <v>17</v>
      </c>
      <c r="I408" s="2" t="s">
        <v>49</v>
      </c>
      <c r="J408" s="1">
        <v>0.0</v>
      </c>
      <c r="K408" s="1">
        <v>0.0</v>
      </c>
      <c r="L408" s="2" t="s">
        <v>45</v>
      </c>
      <c r="N408" s="2">
        <v>1.0</v>
      </c>
      <c r="P408" s="8">
        <f t="shared" si="1"/>
        <v>38443</v>
      </c>
    </row>
    <row r="409" ht="15.75" customHeight="1">
      <c r="A409" s="2">
        <v>2005.0</v>
      </c>
      <c r="B409" s="2">
        <v>2005.0</v>
      </c>
      <c r="C409" s="2">
        <v>3.0</v>
      </c>
      <c r="D409" s="2">
        <v>31.0</v>
      </c>
      <c r="E409" s="2" t="s">
        <v>618</v>
      </c>
      <c r="H409" s="2" t="s">
        <v>17</v>
      </c>
      <c r="I409" s="2" t="s">
        <v>40</v>
      </c>
      <c r="J409" s="1">
        <v>0.0</v>
      </c>
      <c r="K409" s="1">
        <v>0.0</v>
      </c>
      <c r="L409" s="2" t="s">
        <v>45</v>
      </c>
      <c r="N409" s="2">
        <v>1.0</v>
      </c>
      <c r="P409" s="8">
        <f t="shared" si="1"/>
        <v>38442</v>
      </c>
    </row>
    <row r="410" ht="15.75" customHeight="1">
      <c r="A410" s="2">
        <v>2005.0</v>
      </c>
      <c r="B410" s="2">
        <v>2005.0</v>
      </c>
      <c r="C410" s="2">
        <v>3.0</v>
      </c>
      <c r="D410" s="2">
        <v>26.0</v>
      </c>
      <c r="E410" s="2" t="s">
        <v>619</v>
      </c>
      <c r="H410" s="2" t="s">
        <v>17</v>
      </c>
      <c r="I410" s="2" t="s">
        <v>18</v>
      </c>
      <c r="J410" s="1">
        <v>0.0</v>
      </c>
      <c r="K410" s="1">
        <v>0.0</v>
      </c>
      <c r="L410" s="2" t="s">
        <v>24</v>
      </c>
      <c r="M410" s="2" t="s">
        <v>25</v>
      </c>
      <c r="N410" s="2">
        <v>2.0</v>
      </c>
      <c r="P410" s="8">
        <f t="shared" si="1"/>
        <v>38437</v>
      </c>
    </row>
    <row r="411" ht="15.75" customHeight="1">
      <c r="A411" s="2">
        <v>2005.0</v>
      </c>
      <c r="B411" s="2">
        <v>2005.0</v>
      </c>
      <c r="C411" s="2">
        <v>3.0</v>
      </c>
      <c r="D411" s="2">
        <v>24.0</v>
      </c>
      <c r="E411" s="2" t="s">
        <v>620</v>
      </c>
      <c r="H411" s="2" t="s">
        <v>17</v>
      </c>
      <c r="I411" s="2" t="s">
        <v>35</v>
      </c>
      <c r="J411" s="1">
        <v>39.389772648</v>
      </c>
      <c r="K411" s="1">
        <v>-106.102867</v>
      </c>
      <c r="L411" s="2" t="s">
        <v>29</v>
      </c>
      <c r="M411" s="2" t="s">
        <v>20</v>
      </c>
      <c r="N411" s="2">
        <v>1.0</v>
      </c>
      <c r="P411" s="8">
        <f t="shared" si="1"/>
        <v>38435</v>
      </c>
    </row>
    <row r="412" ht="15.75" customHeight="1">
      <c r="A412" s="2">
        <v>2005.0</v>
      </c>
      <c r="B412" s="2">
        <v>2005.0</v>
      </c>
      <c r="C412" s="2">
        <v>3.0</v>
      </c>
      <c r="D412" s="2">
        <v>6.0</v>
      </c>
      <c r="E412" s="2" t="s">
        <v>621</v>
      </c>
      <c r="H412" s="2" t="s">
        <v>17</v>
      </c>
      <c r="I412" s="2" t="s">
        <v>35</v>
      </c>
      <c r="J412" s="1">
        <v>39.12319169</v>
      </c>
      <c r="K412" s="1">
        <v>-106.875687</v>
      </c>
      <c r="L412" s="2" t="s">
        <v>51</v>
      </c>
      <c r="N412" s="2">
        <v>1.0</v>
      </c>
      <c r="P412" s="8">
        <f t="shared" si="1"/>
        <v>38417</v>
      </c>
    </row>
    <row r="413" ht="15.75" customHeight="1">
      <c r="A413" s="2">
        <v>2005.0</v>
      </c>
      <c r="B413" s="2">
        <v>2005.0</v>
      </c>
      <c r="C413" s="2">
        <v>2.0</v>
      </c>
      <c r="D413" s="2">
        <v>20.0</v>
      </c>
      <c r="E413" s="2" t="s">
        <v>622</v>
      </c>
      <c r="H413" s="2" t="s">
        <v>17</v>
      </c>
      <c r="I413" s="2" t="s">
        <v>18</v>
      </c>
      <c r="J413" s="1">
        <v>0.0</v>
      </c>
      <c r="K413" s="1">
        <v>0.0</v>
      </c>
      <c r="L413" s="2" t="s">
        <v>24</v>
      </c>
      <c r="M413" s="2" t="s">
        <v>25</v>
      </c>
      <c r="N413" s="2">
        <v>1.0</v>
      </c>
      <c r="P413" s="8">
        <f t="shared" si="1"/>
        <v>38403</v>
      </c>
    </row>
    <row r="414" ht="15.75" customHeight="1">
      <c r="A414" s="2">
        <v>2005.0</v>
      </c>
      <c r="B414" s="2">
        <v>2005.0</v>
      </c>
      <c r="C414" s="2">
        <v>2.0</v>
      </c>
      <c r="D414" s="2">
        <v>15.0</v>
      </c>
      <c r="E414" s="2" t="s">
        <v>623</v>
      </c>
      <c r="H414" s="9" t="s">
        <v>17</v>
      </c>
      <c r="I414" s="2" t="s">
        <v>28</v>
      </c>
      <c r="J414" s="1">
        <v>0.0</v>
      </c>
      <c r="K414" s="1">
        <v>0.0</v>
      </c>
      <c r="L414" s="2" t="s">
        <v>29</v>
      </c>
      <c r="N414" s="2">
        <v>1.0</v>
      </c>
      <c r="P414" s="8">
        <f t="shared" si="1"/>
        <v>38398</v>
      </c>
    </row>
    <row r="415" ht="15.75" customHeight="1">
      <c r="A415" s="2">
        <v>2005.0</v>
      </c>
      <c r="B415" s="2">
        <v>2005.0</v>
      </c>
      <c r="C415" s="2">
        <v>2.0</v>
      </c>
      <c r="D415" s="2">
        <v>14.0</v>
      </c>
      <c r="E415" s="2" t="s">
        <v>624</v>
      </c>
      <c r="H415" s="2" t="s">
        <v>17</v>
      </c>
      <c r="I415" s="2" t="s">
        <v>625</v>
      </c>
      <c r="J415" s="1">
        <v>0.0</v>
      </c>
      <c r="K415" s="1">
        <v>0.0</v>
      </c>
      <c r="L415" s="2" t="s">
        <v>24</v>
      </c>
      <c r="M415" s="2" t="s">
        <v>25</v>
      </c>
      <c r="N415" s="2">
        <v>1.0</v>
      </c>
      <c r="P415" s="8">
        <f t="shared" si="1"/>
        <v>38397</v>
      </c>
    </row>
    <row r="416" ht="15.75" customHeight="1">
      <c r="A416" s="2">
        <v>2005.0</v>
      </c>
      <c r="B416" s="2">
        <v>2005.0</v>
      </c>
      <c r="C416" s="2">
        <v>1.0</v>
      </c>
      <c r="D416" s="2">
        <v>16.0</v>
      </c>
      <c r="E416" s="2" t="s">
        <v>626</v>
      </c>
      <c r="H416" s="2" t="s">
        <v>17</v>
      </c>
      <c r="I416" s="2" t="s">
        <v>49</v>
      </c>
      <c r="J416" s="1">
        <v>0.0</v>
      </c>
      <c r="K416" s="1">
        <v>0.0</v>
      </c>
      <c r="L416" s="2" t="s">
        <v>24</v>
      </c>
      <c r="M416" s="2" t="s">
        <v>60</v>
      </c>
      <c r="N416" s="2">
        <v>2.0</v>
      </c>
      <c r="P416" s="8">
        <f t="shared" si="1"/>
        <v>38368</v>
      </c>
    </row>
    <row r="417" ht="15.75" customHeight="1">
      <c r="A417" s="2">
        <v>2005.0</v>
      </c>
      <c r="B417" s="2">
        <v>2005.0</v>
      </c>
      <c r="C417" s="2">
        <v>1.0</v>
      </c>
      <c r="D417" s="2">
        <v>14.0</v>
      </c>
      <c r="E417" s="2" t="s">
        <v>627</v>
      </c>
      <c r="H417" s="2" t="s">
        <v>17</v>
      </c>
      <c r="I417" s="2" t="s">
        <v>40</v>
      </c>
      <c r="J417" s="1">
        <v>0.0</v>
      </c>
      <c r="K417" s="1">
        <v>0.0</v>
      </c>
      <c r="L417" s="2" t="s">
        <v>51</v>
      </c>
      <c r="M417" s="2" t="s">
        <v>60</v>
      </c>
      <c r="N417" s="2">
        <v>1.0</v>
      </c>
      <c r="P417" s="8">
        <f t="shared" si="1"/>
        <v>38366</v>
      </c>
    </row>
    <row r="418" ht="15.75" customHeight="1">
      <c r="A418" s="2">
        <v>2005.0</v>
      </c>
      <c r="B418" s="2">
        <v>2005.0</v>
      </c>
      <c r="C418" s="2">
        <v>1.0</v>
      </c>
      <c r="D418" s="2">
        <v>12.0</v>
      </c>
      <c r="E418" s="2" t="s">
        <v>628</v>
      </c>
      <c r="H418" s="2" t="s">
        <v>196</v>
      </c>
      <c r="I418" s="2" t="s">
        <v>77</v>
      </c>
      <c r="J418" s="1">
        <v>0.0</v>
      </c>
      <c r="K418" s="1">
        <v>0.0</v>
      </c>
      <c r="L418" s="2" t="s">
        <v>24</v>
      </c>
      <c r="M418" s="2" t="s">
        <v>25</v>
      </c>
      <c r="N418" s="2">
        <v>1.0</v>
      </c>
      <c r="P418" s="8">
        <f t="shared" si="1"/>
        <v>38364</v>
      </c>
    </row>
    <row r="419" ht="15.75" customHeight="1">
      <c r="A419" s="2">
        <v>2005.0</v>
      </c>
      <c r="B419" s="2">
        <v>2005.0</v>
      </c>
      <c r="C419" s="2">
        <v>1.0</v>
      </c>
      <c r="D419" s="2">
        <v>9.0</v>
      </c>
      <c r="E419" s="2" t="s">
        <v>629</v>
      </c>
      <c r="H419" s="2" t="s">
        <v>196</v>
      </c>
      <c r="I419" s="2" t="s">
        <v>80</v>
      </c>
      <c r="J419" s="1">
        <v>0.0</v>
      </c>
      <c r="K419" s="1">
        <v>0.0</v>
      </c>
      <c r="L419" s="2" t="s">
        <v>197</v>
      </c>
      <c r="M419" s="2" t="s">
        <v>60</v>
      </c>
      <c r="N419" s="2">
        <v>1.0</v>
      </c>
      <c r="P419" s="8">
        <f t="shared" si="1"/>
        <v>38361</v>
      </c>
    </row>
    <row r="420" ht="15.75" customHeight="1">
      <c r="A420" s="2">
        <v>2005.0</v>
      </c>
      <c r="B420" s="2">
        <v>2005.0</v>
      </c>
      <c r="C420" s="2">
        <v>1.0</v>
      </c>
      <c r="D420" s="2">
        <v>8.0</v>
      </c>
      <c r="E420" s="2" t="s">
        <v>630</v>
      </c>
      <c r="H420" s="2" t="s">
        <v>17</v>
      </c>
      <c r="I420" s="2" t="s">
        <v>40</v>
      </c>
      <c r="J420" s="1">
        <v>0.0</v>
      </c>
      <c r="K420" s="1">
        <v>0.0</v>
      </c>
      <c r="L420" s="2" t="s">
        <v>24</v>
      </c>
      <c r="M420" s="2" t="s">
        <v>60</v>
      </c>
      <c r="N420" s="2">
        <v>1.0</v>
      </c>
      <c r="P420" s="8">
        <f t="shared" si="1"/>
        <v>38360</v>
      </c>
    </row>
    <row r="421" ht="15.75" customHeight="1">
      <c r="A421" s="2">
        <v>2005.0</v>
      </c>
      <c r="B421" s="2">
        <v>2005.0</v>
      </c>
      <c r="C421" s="2">
        <v>1.0</v>
      </c>
      <c r="D421" s="2">
        <v>8.0</v>
      </c>
      <c r="E421" s="2" t="s">
        <v>631</v>
      </c>
      <c r="H421" s="2" t="s">
        <v>17</v>
      </c>
      <c r="I421" s="2" t="s">
        <v>40</v>
      </c>
      <c r="J421" s="1">
        <v>0.0</v>
      </c>
      <c r="K421" s="1">
        <v>0.0</v>
      </c>
      <c r="L421" s="2" t="s">
        <v>45</v>
      </c>
      <c r="N421" s="2">
        <v>1.0</v>
      </c>
      <c r="P421" s="8">
        <f t="shared" si="1"/>
        <v>38360</v>
      </c>
    </row>
    <row r="422" ht="15.75" customHeight="1">
      <c r="A422" s="2">
        <v>2005.0</v>
      </c>
      <c r="B422" s="2">
        <v>2005.0</v>
      </c>
      <c r="C422" s="2">
        <v>1.0</v>
      </c>
      <c r="D422" s="2">
        <v>3.0</v>
      </c>
      <c r="E422" s="2" t="s">
        <v>632</v>
      </c>
      <c r="H422" s="2" t="s">
        <v>17</v>
      </c>
      <c r="I422" s="2" t="s">
        <v>35</v>
      </c>
      <c r="J422" s="1">
        <v>40.550129054</v>
      </c>
      <c r="K422" s="1">
        <v>-106.718529</v>
      </c>
      <c r="L422" s="2" t="s">
        <v>24</v>
      </c>
      <c r="M422" s="2" t="s">
        <v>25</v>
      </c>
      <c r="N422" s="2">
        <v>1.0</v>
      </c>
      <c r="P422" s="8">
        <f t="shared" si="1"/>
        <v>38355</v>
      </c>
    </row>
    <row r="423" ht="15.75" customHeight="1">
      <c r="A423" s="2">
        <v>2005.0</v>
      </c>
      <c r="B423" s="2">
        <v>2005.0</v>
      </c>
      <c r="C423" s="2">
        <v>1.0</v>
      </c>
      <c r="D423" s="2">
        <v>1.0</v>
      </c>
      <c r="E423" s="2" t="s">
        <v>633</v>
      </c>
      <c r="H423" s="2" t="s">
        <v>17</v>
      </c>
      <c r="I423" s="2" t="s">
        <v>85</v>
      </c>
      <c r="J423" s="1">
        <v>0.0</v>
      </c>
      <c r="K423" s="1">
        <v>0.0</v>
      </c>
      <c r="L423" s="2" t="s">
        <v>24</v>
      </c>
      <c r="M423" s="2" t="s">
        <v>25</v>
      </c>
      <c r="N423" s="2">
        <v>1.0</v>
      </c>
      <c r="P423" s="8">
        <f t="shared" si="1"/>
        <v>38353</v>
      </c>
    </row>
    <row r="424" ht="15.75" customHeight="1">
      <c r="A424" s="2">
        <v>2005.0</v>
      </c>
      <c r="B424" s="2">
        <v>2004.0</v>
      </c>
      <c r="C424" s="2">
        <v>12.0</v>
      </c>
      <c r="D424" s="2">
        <v>11.0</v>
      </c>
      <c r="E424" s="2" t="s">
        <v>634</v>
      </c>
      <c r="H424" s="2" t="s">
        <v>17</v>
      </c>
      <c r="I424" s="2" t="s">
        <v>40</v>
      </c>
      <c r="J424" s="1">
        <v>0.0</v>
      </c>
      <c r="K424" s="1">
        <v>0.0</v>
      </c>
      <c r="L424" s="2" t="s">
        <v>19</v>
      </c>
      <c r="M424" s="2" t="s">
        <v>103</v>
      </c>
      <c r="N424" s="2">
        <v>2.0</v>
      </c>
      <c r="P424" s="8">
        <f t="shared" si="1"/>
        <v>38332</v>
      </c>
    </row>
    <row r="425" ht="15.75" customHeight="1">
      <c r="A425" s="2">
        <v>2005.0</v>
      </c>
      <c r="B425" s="2">
        <v>2004.0</v>
      </c>
      <c r="C425" s="2">
        <v>12.0</v>
      </c>
      <c r="D425" s="2">
        <v>11.0</v>
      </c>
      <c r="E425" s="2" t="s">
        <v>635</v>
      </c>
      <c r="H425" s="2" t="s">
        <v>17</v>
      </c>
      <c r="I425" s="2" t="s">
        <v>40</v>
      </c>
      <c r="J425" s="1">
        <v>0.0</v>
      </c>
      <c r="K425" s="1">
        <v>0.0</v>
      </c>
      <c r="L425" s="2" t="s">
        <v>45</v>
      </c>
      <c r="N425" s="2">
        <v>1.0</v>
      </c>
      <c r="P425" s="8">
        <f t="shared" si="1"/>
        <v>38332</v>
      </c>
    </row>
    <row r="426" ht="15.75" customHeight="1">
      <c r="A426" s="2">
        <v>2005.0</v>
      </c>
      <c r="B426" s="2">
        <v>2004.0</v>
      </c>
      <c r="C426" s="2">
        <v>12.0</v>
      </c>
      <c r="D426" s="2">
        <v>10.0</v>
      </c>
      <c r="E426" s="2" t="s">
        <v>636</v>
      </c>
      <c r="H426" s="2" t="s">
        <v>17</v>
      </c>
      <c r="I426" s="2" t="s">
        <v>40</v>
      </c>
      <c r="J426" s="1">
        <v>0.0</v>
      </c>
      <c r="K426" s="1">
        <v>0.0</v>
      </c>
      <c r="L426" s="2" t="s">
        <v>24</v>
      </c>
      <c r="M426" s="2" t="s">
        <v>25</v>
      </c>
      <c r="N426" s="2">
        <v>1.0</v>
      </c>
      <c r="P426" s="8">
        <f t="shared" si="1"/>
        <v>38331</v>
      </c>
    </row>
    <row r="427" ht="15.75" customHeight="1">
      <c r="A427" s="2">
        <v>2005.0</v>
      </c>
      <c r="B427" s="2">
        <v>2004.0</v>
      </c>
      <c r="C427" s="2">
        <v>10.0</v>
      </c>
      <c r="D427" s="2">
        <v>30.0</v>
      </c>
      <c r="E427" s="2" t="s">
        <v>637</v>
      </c>
      <c r="H427" s="2" t="s">
        <v>17</v>
      </c>
      <c r="I427" s="2" t="s">
        <v>85</v>
      </c>
      <c r="J427" s="1">
        <v>0.0</v>
      </c>
      <c r="K427" s="1">
        <v>0.0</v>
      </c>
      <c r="L427" s="2" t="s">
        <v>29</v>
      </c>
      <c r="N427" s="2">
        <v>2.0</v>
      </c>
      <c r="P427" s="8">
        <f t="shared" si="1"/>
        <v>38290</v>
      </c>
    </row>
    <row r="428" ht="15.75" customHeight="1">
      <c r="A428" s="2">
        <v>2005.0</v>
      </c>
      <c r="B428" s="2">
        <v>2004.0</v>
      </c>
      <c r="C428" s="2">
        <v>10.0</v>
      </c>
      <c r="D428" s="2">
        <v>24.0</v>
      </c>
      <c r="E428" s="2" t="s">
        <v>638</v>
      </c>
      <c r="H428" s="9" t="s">
        <v>17</v>
      </c>
      <c r="I428" s="2" t="s">
        <v>77</v>
      </c>
      <c r="J428" s="1">
        <v>0.0</v>
      </c>
      <c r="K428" s="1">
        <v>0.0</v>
      </c>
      <c r="L428" s="2" t="s">
        <v>29</v>
      </c>
      <c r="N428" s="2">
        <v>1.0</v>
      </c>
      <c r="P428" s="8">
        <f t="shared" si="1"/>
        <v>38284</v>
      </c>
    </row>
    <row r="429" ht="15.75" customHeight="1">
      <c r="A429" s="2">
        <v>2004.0</v>
      </c>
      <c r="B429" s="2">
        <v>2004.0</v>
      </c>
      <c r="C429" s="2">
        <v>6.0</v>
      </c>
      <c r="D429" s="2">
        <v>13.0</v>
      </c>
      <c r="E429" s="2" t="s">
        <v>639</v>
      </c>
      <c r="H429" s="9" t="s">
        <v>17</v>
      </c>
      <c r="I429" s="2" t="s">
        <v>77</v>
      </c>
      <c r="J429" s="1">
        <v>0.0</v>
      </c>
      <c r="K429" s="1">
        <v>0.0</v>
      </c>
      <c r="L429" s="2" t="s">
        <v>29</v>
      </c>
      <c r="N429" s="2">
        <v>2.0</v>
      </c>
      <c r="P429" s="8">
        <f t="shared" si="1"/>
        <v>38151</v>
      </c>
    </row>
    <row r="430" ht="15.75" customHeight="1">
      <c r="A430" s="2">
        <v>2004.0</v>
      </c>
      <c r="B430" s="2">
        <v>2004.0</v>
      </c>
      <c r="C430" s="2">
        <v>4.0</v>
      </c>
      <c r="D430" s="2">
        <v>26.0</v>
      </c>
      <c r="E430" s="2" t="s">
        <v>640</v>
      </c>
      <c r="H430" s="2" t="s">
        <v>196</v>
      </c>
      <c r="I430" s="2" t="s">
        <v>77</v>
      </c>
      <c r="J430" s="1">
        <v>0.0</v>
      </c>
      <c r="K430" s="1">
        <v>0.0</v>
      </c>
      <c r="L430" s="2" t="s">
        <v>197</v>
      </c>
      <c r="M430" s="2" t="s">
        <v>60</v>
      </c>
      <c r="N430" s="2">
        <v>1.0</v>
      </c>
      <c r="P430" s="8">
        <f t="shared" si="1"/>
        <v>38103</v>
      </c>
    </row>
    <row r="431" ht="15.75" customHeight="1">
      <c r="A431" s="2">
        <v>2004.0</v>
      </c>
      <c r="B431" s="2">
        <v>2004.0</v>
      </c>
      <c r="C431" s="2">
        <v>4.0</v>
      </c>
      <c r="D431" s="2">
        <v>10.0</v>
      </c>
      <c r="E431" s="2" t="s">
        <v>641</v>
      </c>
      <c r="H431" s="2" t="s">
        <v>17</v>
      </c>
      <c r="I431" s="2" t="s">
        <v>28</v>
      </c>
      <c r="J431" s="1">
        <v>0.0</v>
      </c>
      <c r="K431" s="1">
        <v>0.0</v>
      </c>
      <c r="L431" s="2" t="s">
        <v>45</v>
      </c>
      <c r="N431" s="2">
        <v>1.0</v>
      </c>
      <c r="P431" s="8">
        <f t="shared" si="1"/>
        <v>38087</v>
      </c>
    </row>
    <row r="432" ht="15.75" customHeight="1">
      <c r="A432" s="2">
        <v>2004.0</v>
      </c>
      <c r="B432" s="2">
        <v>2004.0</v>
      </c>
      <c r="C432" s="2">
        <v>4.0</v>
      </c>
      <c r="D432" s="2">
        <v>9.0</v>
      </c>
      <c r="E432" s="2" t="s">
        <v>642</v>
      </c>
      <c r="H432" s="2" t="s">
        <v>17</v>
      </c>
      <c r="I432" s="2" t="s">
        <v>35</v>
      </c>
      <c r="J432" s="1">
        <v>38.959803982</v>
      </c>
      <c r="K432" s="1">
        <v>-106.448074</v>
      </c>
      <c r="L432" s="2" t="s">
        <v>19</v>
      </c>
      <c r="M432" s="2" t="s">
        <v>103</v>
      </c>
      <c r="N432" s="2">
        <v>1.0</v>
      </c>
      <c r="P432" s="8">
        <f t="shared" si="1"/>
        <v>38086</v>
      </c>
    </row>
    <row r="433" ht="15.75" customHeight="1">
      <c r="A433" s="2">
        <v>2004.0</v>
      </c>
      <c r="B433" s="2">
        <v>2004.0</v>
      </c>
      <c r="C433" s="2">
        <v>3.0</v>
      </c>
      <c r="D433" s="2">
        <v>20.0</v>
      </c>
      <c r="E433" s="2" t="s">
        <v>643</v>
      </c>
      <c r="H433" s="2" t="s">
        <v>17</v>
      </c>
      <c r="I433" s="2" t="s">
        <v>35</v>
      </c>
      <c r="J433" s="1">
        <v>39.031981569</v>
      </c>
      <c r="K433" s="1">
        <v>-106.483955</v>
      </c>
      <c r="L433" s="2" t="s">
        <v>29</v>
      </c>
      <c r="N433" s="2">
        <v>1.0</v>
      </c>
      <c r="P433" s="8">
        <f t="shared" si="1"/>
        <v>38066</v>
      </c>
    </row>
    <row r="434" ht="15.75" customHeight="1">
      <c r="A434" s="2">
        <v>2004.0</v>
      </c>
      <c r="B434" s="2">
        <v>2004.0</v>
      </c>
      <c r="C434" s="2">
        <v>3.0</v>
      </c>
      <c r="D434" s="2">
        <v>10.0</v>
      </c>
      <c r="E434" s="2" t="s">
        <v>644</v>
      </c>
      <c r="H434" s="2" t="s">
        <v>17</v>
      </c>
      <c r="I434" s="2" t="s">
        <v>35</v>
      </c>
      <c r="J434" s="1">
        <v>39.4691953</v>
      </c>
      <c r="K434" s="1">
        <v>-105.935242</v>
      </c>
      <c r="L434" s="2" t="s">
        <v>45</v>
      </c>
      <c r="N434" s="2">
        <v>1.0</v>
      </c>
      <c r="P434" s="8">
        <f t="shared" si="1"/>
        <v>38056</v>
      </c>
    </row>
    <row r="435" ht="15.75" customHeight="1">
      <c r="A435" s="2">
        <v>2004.0</v>
      </c>
      <c r="B435" s="2">
        <v>2004.0</v>
      </c>
      <c r="C435" s="2">
        <v>3.0</v>
      </c>
      <c r="D435" s="2">
        <v>6.0</v>
      </c>
      <c r="E435" s="2" t="s">
        <v>645</v>
      </c>
      <c r="H435" s="2" t="s">
        <v>17</v>
      </c>
      <c r="I435" s="2" t="s">
        <v>49</v>
      </c>
      <c r="J435" s="1">
        <v>0.0</v>
      </c>
      <c r="K435" s="1">
        <v>0.0</v>
      </c>
      <c r="L435" s="2" t="s">
        <v>45</v>
      </c>
      <c r="N435" s="2">
        <v>1.0</v>
      </c>
      <c r="P435" s="8">
        <f t="shared" si="1"/>
        <v>38052</v>
      </c>
    </row>
    <row r="436" ht="15.75" customHeight="1">
      <c r="A436" s="2">
        <v>2004.0</v>
      </c>
      <c r="B436" s="2">
        <v>2004.0</v>
      </c>
      <c r="C436" s="2">
        <v>3.0</v>
      </c>
      <c r="D436" s="2">
        <v>5.0</v>
      </c>
      <c r="E436" s="2" t="s">
        <v>646</v>
      </c>
      <c r="H436" s="2" t="s">
        <v>17</v>
      </c>
      <c r="I436" s="2" t="s">
        <v>77</v>
      </c>
      <c r="J436" s="1">
        <v>0.0</v>
      </c>
      <c r="K436" s="1">
        <v>0.0</v>
      </c>
      <c r="L436" s="2" t="s">
        <v>45</v>
      </c>
      <c r="N436" s="2">
        <v>1.0</v>
      </c>
      <c r="P436" s="8">
        <f t="shared" si="1"/>
        <v>38051</v>
      </c>
    </row>
    <row r="437" ht="15.75" customHeight="1">
      <c r="A437" s="2">
        <v>2004.0</v>
      </c>
      <c r="B437" s="2">
        <v>2004.0</v>
      </c>
      <c r="C437" s="2">
        <v>2.0</v>
      </c>
      <c r="D437" s="2">
        <v>28.0</v>
      </c>
      <c r="E437" s="2" t="s">
        <v>647</v>
      </c>
      <c r="H437" s="2" t="s">
        <v>17</v>
      </c>
      <c r="I437" s="2" t="s">
        <v>28</v>
      </c>
      <c r="J437" s="1">
        <v>0.0</v>
      </c>
      <c r="K437" s="1">
        <v>0.0</v>
      </c>
      <c r="L437" s="2" t="s">
        <v>29</v>
      </c>
      <c r="N437" s="2">
        <v>1.0</v>
      </c>
      <c r="P437" s="8">
        <f t="shared" si="1"/>
        <v>38045</v>
      </c>
    </row>
    <row r="438" ht="15.75" customHeight="1">
      <c r="A438" s="2">
        <v>2004.0</v>
      </c>
      <c r="B438" s="2">
        <v>2004.0</v>
      </c>
      <c r="C438" s="2">
        <v>2.0</v>
      </c>
      <c r="D438" s="2">
        <v>28.0</v>
      </c>
      <c r="E438" s="2" t="s">
        <v>648</v>
      </c>
      <c r="H438" s="2" t="s">
        <v>17</v>
      </c>
      <c r="I438" s="2" t="s">
        <v>49</v>
      </c>
      <c r="J438" s="1">
        <v>0.0</v>
      </c>
      <c r="K438" s="1">
        <v>0.0</v>
      </c>
      <c r="L438" s="2" t="s">
        <v>45</v>
      </c>
      <c r="N438" s="2">
        <v>1.0</v>
      </c>
      <c r="P438" s="8">
        <f t="shared" si="1"/>
        <v>38045</v>
      </c>
    </row>
    <row r="439" ht="15.75" customHeight="1">
      <c r="A439" s="2">
        <v>2004.0</v>
      </c>
      <c r="B439" s="2">
        <v>2004.0</v>
      </c>
      <c r="C439" s="2">
        <v>2.0</v>
      </c>
      <c r="D439" s="2">
        <v>26.0</v>
      </c>
      <c r="E439" s="2" t="s">
        <v>649</v>
      </c>
      <c r="H439" s="2" t="s">
        <v>17</v>
      </c>
      <c r="I439" s="2" t="s">
        <v>40</v>
      </c>
      <c r="J439" s="1">
        <v>0.0</v>
      </c>
      <c r="K439" s="1">
        <v>0.0</v>
      </c>
      <c r="L439" s="2" t="s">
        <v>19</v>
      </c>
      <c r="M439" s="2" t="s">
        <v>103</v>
      </c>
      <c r="N439" s="2">
        <v>1.0</v>
      </c>
      <c r="P439" s="8">
        <f t="shared" si="1"/>
        <v>38043</v>
      </c>
    </row>
    <row r="440" ht="15.75" customHeight="1">
      <c r="A440" s="2">
        <v>2004.0</v>
      </c>
      <c r="B440" s="2">
        <v>2004.0</v>
      </c>
      <c r="C440" s="2">
        <v>1.0</v>
      </c>
      <c r="D440" s="2">
        <v>31.0</v>
      </c>
      <c r="E440" s="2" t="s">
        <v>650</v>
      </c>
      <c r="H440" s="2" t="s">
        <v>17</v>
      </c>
      <c r="I440" s="2" t="s">
        <v>74</v>
      </c>
      <c r="J440" s="1">
        <v>0.0</v>
      </c>
      <c r="K440" s="1">
        <v>0.0</v>
      </c>
      <c r="L440" s="2" t="s">
        <v>24</v>
      </c>
      <c r="M440" s="2" t="s">
        <v>25</v>
      </c>
      <c r="N440" s="2">
        <v>1.0</v>
      </c>
      <c r="P440" s="8">
        <f t="shared" si="1"/>
        <v>38017</v>
      </c>
    </row>
    <row r="441" ht="15.75" customHeight="1">
      <c r="A441" s="2">
        <v>2004.0</v>
      </c>
      <c r="B441" s="2">
        <v>2004.0</v>
      </c>
      <c r="C441" s="2">
        <v>1.0</v>
      </c>
      <c r="D441" s="2">
        <v>22.0</v>
      </c>
      <c r="E441" s="2" t="s">
        <v>651</v>
      </c>
      <c r="H441" s="2" t="s">
        <v>39</v>
      </c>
      <c r="I441" s="2" t="s">
        <v>28</v>
      </c>
      <c r="J441" s="1">
        <v>0.0</v>
      </c>
      <c r="K441" s="1">
        <v>0.0</v>
      </c>
      <c r="L441" s="2" t="s">
        <v>652</v>
      </c>
      <c r="N441" s="2">
        <v>1.0</v>
      </c>
      <c r="P441" s="8">
        <f t="shared" si="1"/>
        <v>38008</v>
      </c>
    </row>
    <row r="442" ht="15.75" customHeight="1">
      <c r="A442" s="2">
        <v>2004.0</v>
      </c>
      <c r="B442" s="2">
        <v>2004.0</v>
      </c>
      <c r="C442" s="2">
        <v>1.0</v>
      </c>
      <c r="D442" s="2">
        <v>2.0</v>
      </c>
      <c r="E442" s="2" t="s">
        <v>653</v>
      </c>
      <c r="H442" s="2" t="s">
        <v>39</v>
      </c>
      <c r="I442" s="2" t="s">
        <v>49</v>
      </c>
      <c r="J442" s="1">
        <v>0.0</v>
      </c>
      <c r="K442" s="1">
        <v>0.0</v>
      </c>
      <c r="L442" s="2" t="s">
        <v>41</v>
      </c>
      <c r="M442" s="2" t="s">
        <v>20</v>
      </c>
      <c r="N442" s="2">
        <v>2.0</v>
      </c>
      <c r="P442" s="8">
        <f t="shared" si="1"/>
        <v>37988</v>
      </c>
    </row>
    <row r="443" ht="15.75" customHeight="1">
      <c r="A443" s="2">
        <v>2004.0</v>
      </c>
      <c r="B443" s="2">
        <v>2004.0</v>
      </c>
      <c r="C443" s="2">
        <v>1.0</v>
      </c>
      <c r="D443" s="2">
        <v>1.0</v>
      </c>
      <c r="E443" s="2" t="s">
        <v>654</v>
      </c>
      <c r="H443" s="2" t="s">
        <v>17</v>
      </c>
      <c r="I443" s="2" t="s">
        <v>18</v>
      </c>
      <c r="J443" s="1">
        <v>0.0</v>
      </c>
      <c r="K443" s="1">
        <v>0.0</v>
      </c>
      <c r="L443" s="2" t="s">
        <v>19</v>
      </c>
      <c r="M443" s="2" t="s">
        <v>103</v>
      </c>
      <c r="N443" s="2">
        <v>1.0</v>
      </c>
      <c r="P443" s="8">
        <f t="shared" si="1"/>
        <v>37987</v>
      </c>
    </row>
    <row r="444" ht="15.75" customHeight="1">
      <c r="A444" s="2">
        <v>2004.0</v>
      </c>
      <c r="B444" s="2">
        <v>2003.0</v>
      </c>
      <c r="C444" s="2">
        <v>12.0</v>
      </c>
      <c r="D444" s="2">
        <v>26.0</v>
      </c>
      <c r="E444" s="2" t="s">
        <v>655</v>
      </c>
      <c r="H444" s="2" t="s">
        <v>17</v>
      </c>
      <c r="I444" s="2" t="s">
        <v>40</v>
      </c>
      <c r="J444" s="1">
        <v>0.0</v>
      </c>
      <c r="K444" s="1">
        <v>0.0</v>
      </c>
      <c r="L444" s="2" t="s">
        <v>24</v>
      </c>
      <c r="M444" s="2" t="s">
        <v>60</v>
      </c>
      <c r="N444" s="2">
        <v>3.0</v>
      </c>
      <c r="P444" s="8">
        <f t="shared" si="1"/>
        <v>37981</v>
      </c>
    </row>
    <row r="445" ht="15.75" customHeight="1">
      <c r="A445" s="2">
        <v>2004.0</v>
      </c>
      <c r="B445" s="2">
        <v>2003.0</v>
      </c>
      <c r="C445" s="2">
        <v>12.0</v>
      </c>
      <c r="D445" s="2">
        <v>17.0</v>
      </c>
      <c r="E445" s="2" t="s">
        <v>656</v>
      </c>
      <c r="H445" s="2" t="s">
        <v>17</v>
      </c>
      <c r="I445" s="2" t="s">
        <v>77</v>
      </c>
      <c r="J445" s="1">
        <v>0.0</v>
      </c>
      <c r="K445" s="1">
        <v>0.0</v>
      </c>
      <c r="L445" s="2" t="s">
        <v>45</v>
      </c>
      <c r="N445" s="2">
        <v>1.0</v>
      </c>
      <c r="P445" s="8">
        <f t="shared" si="1"/>
        <v>37972</v>
      </c>
    </row>
    <row r="446" ht="15.75" customHeight="1">
      <c r="A446" s="2">
        <v>2004.0</v>
      </c>
      <c r="B446" s="2">
        <v>2003.0</v>
      </c>
      <c r="C446" s="2">
        <v>12.0</v>
      </c>
      <c r="D446" s="2">
        <v>13.0</v>
      </c>
      <c r="E446" s="2" t="s">
        <v>657</v>
      </c>
      <c r="H446" s="2" t="s">
        <v>17</v>
      </c>
      <c r="I446" s="2" t="s">
        <v>77</v>
      </c>
      <c r="J446" s="1">
        <v>0.0</v>
      </c>
      <c r="K446" s="1">
        <v>0.0</v>
      </c>
      <c r="L446" s="2" t="s">
        <v>19</v>
      </c>
      <c r="M446" s="2" t="s">
        <v>103</v>
      </c>
      <c r="N446" s="2">
        <v>1.0</v>
      </c>
      <c r="P446" s="8">
        <f t="shared" si="1"/>
        <v>37968</v>
      </c>
    </row>
    <row r="447" ht="15.75" customHeight="1">
      <c r="A447" s="2">
        <v>2004.0</v>
      </c>
      <c r="B447" s="2">
        <v>2003.0</v>
      </c>
      <c r="C447" s="2">
        <v>12.0</v>
      </c>
      <c r="D447" s="2">
        <v>12.0</v>
      </c>
      <c r="E447" s="2" t="s">
        <v>658</v>
      </c>
      <c r="H447" s="2" t="s">
        <v>17</v>
      </c>
      <c r="I447" s="2" t="s">
        <v>77</v>
      </c>
      <c r="J447" s="1">
        <v>0.0</v>
      </c>
      <c r="K447" s="1">
        <v>0.0</v>
      </c>
      <c r="L447" s="2" t="s">
        <v>19</v>
      </c>
      <c r="M447" s="2" t="s">
        <v>103</v>
      </c>
      <c r="N447" s="2">
        <v>1.0</v>
      </c>
      <c r="P447" s="8">
        <f t="shared" si="1"/>
        <v>37967</v>
      </c>
    </row>
    <row r="448" ht="15.75" customHeight="1">
      <c r="A448" s="2">
        <v>2003.0</v>
      </c>
      <c r="B448" s="2">
        <v>2003.0</v>
      </c>
      <c r="C448" s="2">
        <v>4.0</v>
      </c>
      <c r="D448" s="2">
        <v>26.0</v>
      </c>
      <c r="E448" s="2" t="s">
        <v>659</v>
      </c>
      <c r="H448" s="2" t="s">
        <v>17</v>
      </c>
      <c r="I448" s="2" t="s">
        <v>18</v>
      </c>
      <c r="J448" s="1">
        <v>0.0</v>
      </c>
      <c r="K448" s="1">
        <v>0.0</v>
      </c>
      <c r="L448" s="2" t="s">
        <v>45</v>
      </c>
      <c r="N448" s="2">
        <v>1.0</v>
      </c>
      <c r="P448" s="8">
        <f t="shared" si="1"/>
        <v>37737</v>
      </c>
    </row>
    <row r="449" ht="15.75" customHeight="1">
      <c r="A449" s="2">
        <v>2003.0</v>
      </c>
      <c r="B449" s="2">
        <v>2003.0</v>
      </c>
      <c r="C449" s="2">
        <v>4.0</v>
      </c>
      <c r="D449" s="2">
        <v>14.0</v>
      </c>
      <c r="E449" s="2" t="s">
        <v>660</v>
      </c>
      <c r="H449" s="2" t="s">
        <v>17</v>
      </c>
      <c r="I449" s="2" t="s">
        <v>28</v>
      </c>
      <c r="J449" s="1">
        <v>0.0</v>
      </c>
      <c r="K449" s="1">
        <v>0.0</v>
      </c>
      <c r="L449" s="2" t="s">
        <v>29</v>
      </c>
      <c r="N449" s="2">
        <v>2.0</v>
      </c>
      <c r="P449" s="8">
        <f t="shared" si="1"/>
        <v>37725</v>
      </c>
    </row>
    <row r="450" ht="15.75" customHeight="1">
      <c r="A450" s="2">
        <v>2003.0</v>
      </c>
      <c r="B450" s="2">
        <v>2003.0</v>
      </c>
      <c r="C450" s="2">
        <v>4.0</v>
      </c>
      <c r="D450" s="2">
        <v>9.0</v>
      </c>
      <c r="E450" s="2" t="s">
        <v>661</v>
      </c>
      <c r="H450" s="9" t="s">
        <v>17</v>
      </c>
      <c r="I450" s="2" t="s">
        <v>28</v>
      </c>
      <c r="J450" s="1">
        <v>0.0</v>
      </c>
      <c r="K450" s="1">
        <v>0.0</v>
      </c>
      <c r="L450" s="2" t="s">
        <v>24</v>
      </c>
      <c r="M450" s="2" t="s">
        <v>25</v>
      </c>
      <c r="N450" s="2">
        <v>1.0</v>
      </c>
      <c r="P450" s="8">
        <f t="shared" si="1"/>
        <v>37720</v>
      </c>
    </row>
    <row r="451" ht="15.75" customHeight="1">
      <c r="A451" s="2">
        <v>2003.0</v>
      </c>
      <c r="B451" s="2">
        <v>2003.0</v>
      </c>
      <c r="C451" s="2">
        <v>3.0</v>
      </c>
      <c r="D451" s="2">
        <v>22.0</v>
      </c>
      <c r="E451" s="2" t="s">
        <v>662</v>
      </c>
      <c r="H451" s="2" t="s">
        <v>17</v>
      </c>
      <c r="I451" s="2" t="s">
        <v>35</v>
      </c>
      <c r="J451" s="1">
        <v>37.67885051</v>
      </c>
      <c r="K451" s="1">
        <v>-108.033371003</v>
      </c>
      <c r="L451" s="2" t="s">
        <v>45</v>
      </c>
      <c r="N451" s="2">
        <v>1.0</v>
      </c>
      <c r="P451" s="8">
        <f t="shared" si="1"/>
        <v>37702</v>
      </c>
    </row>
    <row r="452" ht="15.75" customHeight="1">
      <c r="A452" s="2">
        <v>2003.0</v>
      </c>
      <c r="B452" s="2">
        <v>2003.0</v>
      </c>
      <c r="C452" s="2">
        <v>3.0</v>
      </c>
      <c r="D452" s="2">
        <v>20.0</v>
      </c>
      <c r="E452" s="2" t="s">
        <v>663</v>
      </c>
      <c r="H452" s="2" t="s">
        <v>17</v>
      </c>
      <c r="I452" s="2" t="s">
        <v>35</v>
      </c>
      <c r="J452" s="1">
        <v>39.614879361</v>
      </c>
      <c r="K452" s="1">
        <v>-105.914383</v>
      </c>
      <c r="L452" s="2" t="s">
        <v>24</v>
      </c>
      <c r="M452" s="2" t="s">
        <v>25</v>
      </c>
      <c r="N452" s="2">
        <v>1.0</v>
      </c>
      <c r="P452" s="8">
        <f t="shared" si="1"/>
        <v>37700</v>
      </c>
    </row>
    <row r="453" ht="15.75" customHeight="1">
      <c r="A453" s="2">
        <v>2003.0</v>
      </c>
      <c r="B453" s="2">
        <v>2003.0</v>
      </c>
      <c r="C453" s="2">
        <v>3.0</v>
      </c>
      <c r="D453" s="2">
        <v>9.0</v>
      </c>
      <c r="E453" s="2" t="s">
        <v>664</v>
      </c>
      <c r="H453" s="2" t="s">
        <v>17</v>
      </c>
      <c r="I453" s="2" t="s">
        <v>85</v>
      </c>
      <c r="J453" s="1">
        <v>0.0</v>
      </c>
      <c r="K453" s="1">
        <v>0.0</v>
      </c>
      <c r="L453" s="2" t="s">
        <v>45</v>
      </c>
      <c r="N453" s="2">
        <v>1.0</v>
      </c>
      <c r="P453" s="8">
        <f t="shared" si="1"/>
        <v>37689</v>
      </c>
    </row>
    <row r="454" ht="15.75" customHeight="1">
      <c r="A454" s="2">
        <v>2003.0</v>
      </c>
      <c r="B454" s="2">
        <v>2003.0</v>
      </c>
      <c r="C454" s="2">
        <v>3.0</v>
      </c>
      <c r="D454" s="2">
        <v>9.0</v>
      </c>
      <c r="E454" s="2" t="s">
        <v>665</v>
      </c>
      <c r="H454" s="2" t="s">
        <v>17</v>
      </c>
      <c r="I454" s="2" t="s">
        <v>35</v>
      </c>
      <c r="J454" s="1">
        <v>38.777370585</v>
      </c>
      <c r="K454" s="1">
        <v>-106.390312</v>
      </c>
      <c r="L454" s="2" t="s">
        <v>45</v>
      </c>
      <c r="N454" s="2">
        <v>1.0</v>
      </c>
      <c r="P454" s="8">
        <f t="shared" si="1"/>
        <v>37689</v>
      </c>
    </row>
    <row r="455" ht="15.75" customHeight="1">
      <c r="A455" s="2">
        <v>2003.0</v>
      </c>
      <c r="B455" s="2">
        <v>2003.0</v>
      </c>
      <c r="C455" s="2">
        <v>3.0</v>
      </c>
      <c r="D455" s="2">
        <v>5.0</v>
      </c>
      <c r="E455" s="2" t="s">
        <v>666</v>
      </c>
      <c r="H455" s="2" t="s">
        <v>17</v>
      </c>
      <c r="I455" s="2" t="s">
        <v>35</v>
      </c>
      <c r="J455" s="1">
        <v>38.621158775</v>
      </c>
      <c r="K455" s="1">
        <v>-106.370575</v>
      </c>
      <c r="L455" s="2" t="s">
        <v>45</v>
      </c>
      <c r="N455" s="2">
        <v>1.0</v>
      </c>
      <c r="P455" s="8">
        <f t="shared" si="1"/>
        <v>37685</v>
      </c>
    </row>
    <row r="456" ht="15.75" customHeight="1">
      <c r="A456" s="2">
        <v>2003.0</v>
      </c>
      <c r="B456" s="2">
        <v>2003.0</v>
      </c>
      <c r="C456" s="2">
        <v>2.0</v>
      </c>
      <c r="D456" s="2">
        <v>24.0</v>
      </c>
      <c r="E456" s="2" t="s">
        <v>667</v>
      </c>
      <c r="H456" s="2" t="s">
        <v>17</v>
      </c>
      <c r="I456" s="2" t="s">
        <v>74</v>
      </c>
      <c r="J456" s="1">
        <v>0.0</v>
      </c>
      <c r="K456" s="1">
        <v>0.0</v>
      </c>
      <c r="L456" s="2" t="s">
        <v>45</v>
      </c>
      <c r="N456" s="2">
        <v>1.0</v>
      </c>
      <c r="P456" s="8">
        <f t="shared" si="1"/>
        <v>37676</v>
      </c>
    </row>
    <row r="457" ht="15.75" customHeight="1">
      <c r="A457" s="2">
        <v>2003.0</v>
      </c>
      <c r="B457" s="2">
        <v>2003.0</v>
      </c>
      <c r="C457" s="2">
        <v>2.0</v>
      </c>
      <c r="D457" s="2">
        <v>23.0</v>
      </c>
      <c r="E457" s="2" t="s">
        <v>668</v>
      </c>
      <c r="H457" s="2" t="s">
        <v>17</v>
      </c>
      <c r="I457" s="2" t="s">
        <v>35</v>
      </c>
      <c r="J457" s="1">
        <v>38.950260845</v>
      </c>
      <c r="K457" s="1">
        <v>-106.363106</v>
      </c>
      <c r="L457" s="2" t="s">
        <v>24</v>
      </c>
      <c r="M457" s="2" t="s">
        <v>25</v>
      </c>
      <c r="N457" s="2">
        <v>1.0</v>
      </c>
      <c r="P457" s="8">
        <f t="shared" si="1"/>
        <v>37675</v>
      </c>
    </row>
    <row r="458" ht="15.75" customHeight="1">
      <c r="A458" s="2">
        <v>2003.0</v>
      </c>
      <c r="B458" s="2">
        <v>2003.0</v>
      </c>
      <c r="C458" s="2">
        <v>2.0</v>
      </c>
      <c r="D458" s="2">
        <v>22.0</v>
      </c>
      <c r="E458" s="2" t="s">
        <v>669</v>
      </c>
      <c r="H458" s="2" t="s">
        <v>17</v>
      </c>
      <c r="I458" s="2" t="s">
        <v>49</v>
      </c>
      <c r="J458" s="1">
        <v>0.0</v>
      </c>
      <c r="K458" s="1">
        <v>0.0</v>
      </c>
      <c r="L458" s="2" t="s">
        <v>45</v>
      </c>
      <c r="N458" s="2">
        <v>1.0</v>
      </c>
      <c r="P458" s="8">
        <f t="shared" si="1"/>
        <v>37674</v>
      </c>
    </row>
    <row r="459" ht="15.75" customHeight="1">
      <c r="A459" s="2">
        <v>2003.0</v>
      </c>
      <c r="B459" s="2">
        <v>2003.0</v>
      </c>
      <c r="C459" s="2">
        <v>2.0</v>
      </c>
      <c r="D459" s="2">
        <v>22.0</v>
      </c>
      <c r="E459" s="2" t="s">
        <v>670</v>
      </c>
      <c r="H459" s="2" t="s">
        <v>17</v>
      </c>
      <c r="I459" s="2" t="s">
        <v>49</v>
      </c>
      <c r="J459" s="1">
        <v>0.0</v>
      </c>
      <c r="K459" s="1">
        <v>0.0</v>
      </c>
      <c r="L459" s="2" t="s">
        <v>45</v>
      </c>
      <c r="N459" s="2">
        <v>1.0</v>
      </c>
      <c r="P459" s="8">
        <f t="shared" si="1"/>
        <v>37674</v>
      </c>
    </row>
    <row r="460" ht="15.75" customHeight="1">
      <c r="A460" s="2">
        <v>2003.0</v>
      </c>
      <c r="B460" s="2">
        <v>2003.0</v>
      </c>
      <c r="C460" s="2">
        <v>2.0</v>
      </c>
      <c r="D460" s="2">
        <v>17.0</v>
      </c>
      <c r="E460" s="2" t="s">
        <v>671</v>
      </c>
      <c r="H460" s="2" t="s">
        <v>17</v>
      </c>
      <c r="I460" s="2" t="s">
        <v>35</v>
      </c>
      <c r="J460" s="1">
        <v>39.713195382</v>
      </c>
      <c r="K460" s="1">
        <v>-105.90683</v>
      </c>
      <c r="L460" s="2" t="s">
        <v>29</v>
      </c>
      <c r="N460" s="2">
        <v>1.0</v>
      </c>
      <c r="P460" s="8">
        <f t="shared" si="1"/>
        <v>37669</v>
      </c>
    </row>
    <row r="461" ht="15.75" customHeight="1">
      <c r="A461" s="2">
        <v>2003.0</v>
      </c>
      <c r="B461" s="2">
        <v>2003.0</v>
      </c>
      <c r="C461" s="2">
        <v>2.0</v>
      </c>
      <c r="D461" s="2">
        <v>15.0</v>
      </c>
      <c r="E461" s="2" t="s">
        <v>672</v>
      </c>
      <c r="H461" s="2" t="s">
        <v>17</v>
      </c>
      <c r="I461" s="2" t="s">
        <v>40</v>
      </c>
      <c r="J461" s="1">
        <v>0.0</v>
      </c>
      <c r="K461" s="1">
        <v>0.0</v>
      </c>
      <c r="L461" s="2" t="s">
        <v>24</v>
      </c>
      <c r="M461" s="2" t="s">
        <v>25</v>
      </c>
      <c r="N461" s="2">
        <v>1.0</v>
      </c>
      <c r="P461" s="8">
        <f t="shared" si="1"/>
        <v>37667</v>
      </c>
    </row>
    <row r="462" ht="15.75" customHeight="1">
      <c r="A462" s="2">
        <v>2003.0</v>
      </c>
      <c r="B462" s="2">
        <v>2003.0</v>
      </c>
      <c r="C462" s="2">
        <v>2.0</v>
      </c>
      <c r="D462" s="2">
        <v>10.0</v>
      </c>
      <c r="E462" s="2" t="s">
        <v>673</v>
      </c>
      <c r="H462" s="2" t="s">
        <v>196</v>
      </c>
      <c r="I462" s="2" t="s">
        <v>74</v>
      </c>
      <c r="J462" s="1">
        <v>0.0</v>
      </c>
      <c r="K462" s="1">
        <v>0.0</v>
      </c>
      <c r="L462" s="2" t="s">
        <v>51</v>
      </c>
      <c r="M462" s="2" t="s">
        <v>25</v>
      </c>
      <c r="N462" s="2">
        <v>1.0</v>
      </c>
      <c r="P462" s="8">
        <f t="shared" si="1"/>
        <v>37662</v>
      </c>
    </row>
    <row r="463" ht="15.75" customHeight="1">
      <c r="A463" s="2">
        <v>2003.0</v>
      </c>
      <c r="B463" s="2">
        <v>2003.0</v>
      </c>
      <c r="C463" s="2">
        <v>2.0</v>
      </c>
      <c r="D463" s="2">
        <v>9.0</v>
      </c>
      <c r="E463" s="2" t="s">
        <v>674</v>
      </c>
      <c r="H463" s="2" t="s">
        <v>17</v>
      </c>
      <c r="I463" s="2" t="s">
        <v>28</v>
      </c>
      <c r="J463" s="1">
        <v>0.0</v>
      </c>
      <c r="K463" s="1">
        <v>0.0</v>
      </c>
      <c r="L463" s="2" t="s">
        <v>24</v>
      </c>
      <c r="M463" s="2" t="s">
        <v>60</v>
      </c>
      <c r="N463" s="2">
        <v>1.0</v>
      </c>
      <c r="P463" s="8">
        <f t="shared" si="1"/>
        <v>37661</v>
      </c>
    </row>
    <row r="464" ht="15.75" customHeight="1">
      <c r="A464" s="2">
        <v>2003.0</v>
      </c>
      <c r="B464" s="2">
        <v>2003.0</v>
      </c>
      <c r="C464" s="2">
        <v>2.0</v>
      </c>
      <c r="D464" s="2">
        <v>2.0</v>
      </c>
      <c r="E464" s="2" t="s">
        <v>675</v>
      </c>
      <c r="H464" s="2" t="s">
        <v>17</v>
      </c>
      <c r="I464" s="2" t="s">
        <v>85</v>
      </c>
      <c r="J464" s="1">
        <v>0.0</v>
      </c>
      <c r="K464" s="1">
        <v>0.0</v>
      </c>
      <c r="L464" s="2" t="s">
        <v>45</v>
      </c>
      <c r="N464" s="2">
        <v>1.0</v>
      </c>
      <c r="P464" s="8">
        <f t="shared" si="1"/>
        <v>37654</v>
      </c>
    </row>
    <row r="465" ht="15.75" customHeight="1">
      <c r="A465" s="2">
        <v>2003.0</v>
      </c>
      <c r="B465" s="2">
        <v>2003.0</v>
      </c>
      <c r="C465" s="2">
        <v>2.0</v>
      </c>
      <c r="D465" s="2">
        <v>1.0</v>
      </c>
      <c r="E465" s="2" t="s">
        <v>676</v>
      </c>
      <c r="H465" s="2" t="s">
        <v>17</v>
      </c>
      <c r="I465" s="2" t="s">
        <v>85</v>
      </c>
      <c r="J465" s="1">
        <v>0.0</v>
      </c>
      <c r="K465" s="1">
        <v>0.0</v>
      </c>
      <c r="L465" s="2" t="s">
        <v>45</v>
      </c>
      <c r="N465" s="2">
        <v>1.0</v>
      </c>
      <c r="P465" s="8">
        <f t="shared" si="1"/>
        <v>37653</v>
      </c>
    </row>
    <row r="466" ht="15.75" customHeight="1">
      <c r="A466" s="2">
        <v>2003.0</v>
      </c>
      <c r="B466" s="2">
        <v>2003.0</v>
      </c>
      <c r="C466" s="2">
        <v>1.0</v>
      </c>
      <c r="D466" s="2">
        <v>28.0</v>
      </c>
      <c r="E466" s="2" t="s">
        <v>677</v>
      </c>
      <c r="H466" s="2" t="s">
        <v>17</v>
      </c>
      <c r="I466" s="2" t="s">
        <v>74</v>
      </c>
      <c r="J466" s="1">
        <v>0.0</v>
      </c>
      <c r="K466" s="1">
        <v>0.0</v>
      </c>
      <c r="L466" s="2" t="s">
        <v>24</v>
      </c>
      <c r="M466" s="2" t="s">
        <v>60</v>
      </c>
      <c r="N466" s="2">
        <v>1.0</v>
      </c>
      <c r="P466" s="8">
        <f t="shared" si="1"/>
        <v>37649</v>
      </c>
    </row>
    <row r="467" ht="15.75" customHeight="1">
      <c r="A467" s="2">
        <v>2003.0</v>
      </c>
      <c r="B467" s="2">
        <v>2003.0</v>
      </c>
      <c r="C467" s="2">
        <v>1.0</v>
      </c>
      <c r="D467" s="2">
        <v>25.0</v>
      </c>
      <c r="E467" s="2" t="s">
        <v>678</v>
      </c>
      <c r="H467" s="2" t="s">
        <v>17</v>
      </c>
      <c r="I467" s="2" t="s">
        <v>74</v>
      </c>
      <c r="J467" s="1">
        <v>0.0</v>
      </c>
      <c r="K467" s="1">
        <v>0.0</v>
      </c>
      <c r="L467" s="2" t="s">
        <v>45</v>
      </c>
      <c r="N467" s="2">
        <v>1.0</v>
      </c>
      <c r="P467" s="8">
        <f t="shared" si="1"/>
        <v>37646</v>
      </c>
    </row>
    <row r="468" ht="15.75" customHeight="1">
      <c r="A468" s="2">
        <v>2003.0</v>
      </c>
      <c r="B468" s="2">
        <v>2003.0</v>
      </c>
      <c r="C468" s="2">
        <v>1.0</v>
      </c>
      <c r="D468" s="2">
        <v>22.0</v>
      </c>
      <c r="E468" s="2" t="s">
        <v>679</v>
      </c>
      <c r="H468" s="2" t="s">
        <v>17</v>
      </c>
      <c r="I468" s="2" t="s">
        <v>85</v>
      </c>
      <c r="J468" s="1">
        <v>0.0</v>
      </c>
      <c r="K468" s="1">
        <v>0.0</v>
      </c>
      <c r="L468" s="2" t="s">
        <v>45</v>
      </c>
      <c r="N468" s="2">
        <v>1.0</v>
      </c>
      <c r="P468" s="8">
        <f t="shared" si="1"/>
        <v>37643</v>
      </c>
    </row>
    <row r="469" ht="15.75" customHeight="1">
      <c r="A469" s="2">
        <v>2003.0</v>
      </c>
      <c r="B469" s="2">
        <v>2003.0</v>
      </c>
      <c r="C469" s="2">
        <v>1.0</v>
      </c>
      <c r="D469" s="2">
        <v>5.0</v>
      </c>
      <c r="E469" s="2" t="s">
        <v>680</v>
      </c>
      <c r="H469" s="2" t="s">
        <v>17</v>
      </c>
      <c r="I469" s="2" t="s">
        <v>74</v>
      </c>
      <c r="J469" s="1">
        <v>0.0</v>
      </c>
      <c r="K469" s="1">
        <v>0.0</v>
      </c>
      <c r="L469" s="2" t="s">
        <v>45</v>
      </c>
      <c r="N469" s="2">
        <v>1.0</v>
      </c>
      <c r="P469" s="8">
        <f t="shared" si="1"/>
        <v>37626</v>
      </c>
    </row>
    <row r="470" ht="15.75" customHeight="1">
      <c r="A470" s="2">
        <v>2003.0</v>
      </c>
      <c r="B470" s="2">
        <v>2003.0</v>
      </c>
      <c r="C470" s="2">
        <v>1.0</v>
      </c>
      <c r="D470" s="2">
        <v>4.0</v>
      </c>
      <c r="E470" s="2" t="s">
        <v>681</v>
      </c>
      <c r="H470" s="2" t="s">
        <v>17</v>
      </c>
      <c r="I470" s="2" t="s">
        <v>74</v>
      </c>
      <c r="J470" s="1">
        <v>0.0</v>
      </c>
      <c r="K470" s="1">
        <v>0.0</v>
      </c>
      <c r="L470" s="2" t="s">
        <v>24</v>
      </c>
      <c r="M470" s="2" t="s">
        <v>60</v>
      </c>
      <c r="N470" s="2">
        <v>1.0</v>
      </c>
      <c r="P470" s="8">
        <f t="shared" si="1"/>
        <v>37625</v>
      </c>
    </row>
    <row r="471" ht="15.75" customHeight="1">
      <c r="A471" s="2">
        <v>2003.0</v>
      </c>
      <c r="B471" s="2">
        <v>2002.0</v>
      </c>
      <c r="C471" s="2">
        <v>12.0</v>
      </c>
      <c r="D471" s="2">
        <v>29.0</v>
      </c>
      <c r="E471" s="2" t="s">
        <v>682</v>
      </c>
      <c r="H471" s="2" t="s">
        <v>17</v>
      </c>
      <c r="I471" s="2" t="s">
        <v>77</v>
      </c>
      <c r="J471" s="1">
        <v>0.0</v>
      </c>
      <c r="K471" s="1">
        <v>0.0</v>
      </c>
      <c r="L471" s="2" t="s">
        <v>24</v>
      </c>
      <c r="M471" s="2" t="s">
        <v>25</v>
      </c>
      <c r="N471" s="2">
        <v>1.0</v>
      </c>
      <c r="P471" s="8">
        <f t="shared" si="1"/>
        <v>37619</v>
      </c>
    </row>
    <row r="472" ht="15.75" customHeight="1">
      <c r="A472" s="2">
        <v>2003.0</v>
      </c>
      <c r="B472" s="2">
        <v>2002.0</v>
      </c>
      <c r="C472" s="2">
        <v>12.0</v>
      </c>
      <c r="D472" s="2">
        <v>28.0</v>
      </c>
      <c r="E472" s="2" t="s">
        <v>683</v>
      </c>
      <c r="H472" s="2" t="s">
        <v>17</v>
      </c>
      <c r="I472" s="2" t="s">
        <v>49</v>
      </c>
      <c r="J472" s="1">
        <v>0.0</v>
      </c>
      <c r="K472" s="1">
        <v>0.0</v>
      </c>
      <c r="L472" s="2" t="s">
        <v>45</v>
      </c>
      <c r="N472" s="2">
        <v>1.0</v>
      </c>
      <c r="P472" s="8">
        <f t="shared" si="1"/>
        <v>37618</v>
      </c>
    </row>
    <row r="473" ht="15.75" customHeight="1">
      <c r="A473" s="2">
        <v>2003.0</v>
      </c>
      <c r="B473" s="2">
        <v>2002.0</v>
      </c>
      <c r="C473" s="2">
        <v>12.0</v>
      </c>
      <c r="D473" s="2">
        <v>26.0</v>
      </c>
      <c r="E473" s="2" t="s">
        <v>684</v>
      </c>
      <c r="H473" s="2" t="s">
        <v>17</v>
      </c>
      <c r="I473" s="2" t="s">
        <v>74</v>
      </c>
      <c r="J473" s="1">
        <v>0.0</v>
      </c>
      <c r="K473" s="1">
        <v>0.0</v>
      </c>
      <c r="L473" s="2" t="s">
        <v>45</v>
      </c>
      <c r="N473" s="2">
        <v>1.0</v>
      </c>
      <c r="P473" s="8">
        <f t="shared" si="1"/>
        <v>37616</v>
      </c>
    </row>
    <row r="474" ht="15.75" customHeight="1">
      <c r="A474" s="2">
        <v>2003.0</v>
      </c>
      <c r="B474" s="2">
        <v>2002.0</v>
      </c>
      <c r="C474" s="2">
        <v>12.0</v>
      </c>
      <c r="D474" s="2">
        <v>15.0</v>
      </c>
      <c r="E474" s="2" t="s">
        <v>685</v>
      </c>
      <c r="H474" s="2" t="s">
        <v>196</v>
      </c>
      <c r="I474" s="2" t="s">
        <v>80</v>
      </c>
      <c r="J474" s="1">
        <v>0.0</v>
      </c>
      <c r="K474" s="1">
        <v>0.0</v>
      </c>
      <c r="L474" s="2" t="s">
        <v>197</v>
      </c>
      <c r="M474" s="2" t="s">
        <v>60</v>
      </c>
      <c r="N474" s="2">
        <v>1.0</v>
      </c>
      <c r="P474" s="8">
        <f t="shared" si="1"/>
        <v>37605</v>
      </c>
    </row>
    <row r="475" ht="15.75" customHeight="1">
      <c r="A475" s="2">
        <v>2003.0</v>
      </c>
      <c r="B475" s="2">
        <v>2002.0</v>
      </c>
      <c r="C475" s="2">
        <v>11.0</v>
      </c>
      <c r="D475" s="2">
        <v>29.0</v>
      </c>
      <c r="E475" s="2" t="s">
        <v>686</v>
      </c>
      <c r="H475" s="2" t="s">
        <v>17</v>
      </c>
      <c r="I475" s="2" t="s">
        <v>166</v>
      </c>
      <c r="J475" s="1">
        <v>0.0</v>
      </c>
      <c r="K475" s="1">
        <v>0.0</v>
      </c>
      <c r="L475" s="2" t="s">
        <v>29</v>
      </c>
      <c r="N475" s="2">
        <v>2.0</v>
      </c>
      <c r="P475" s="8">
        <f t="shared" si="1"/>
        <v>37589</v>
      </c>
    </row>
    <row r="476" ht="15.75" customHeight="1">
      <c r="A476" s="2">
        <v>2002.0</v>
      </c>
      <c r="B476" s="2">
        <v>2002.0</v>
      </c>
      <c r="C476" s="2">
        <v>6.0</v>
      </c>
      <c r="D476" s="2">
        <v>13.0</v>
      </c>
      <c r="E476" s="2" t="s">
        <v>687</v>
      </c>
      <c r="H476" s="9" t="s">
        <v>17</v>
      </c>
      <c r="I476" s="2" t="s">
        <v>28</v>
      </c>
      <c r="J476" s="1">
        <v>0.0</v>
      </c>
      <c r="K476" s="1">
        <v>0.0</v>
      </c>
      <c r="L476" s="2" t="s">
        <v>29</v>
      </c>
      <c r="M476" s="2" t="s">
        <v>20</v>
      </c>
      <c r="N476" s="2">
        <v>3.0</v>
      </c>
      <c r="P476" s="8">
        <f t="shared" si="1"/>
        <v>37420</v>
      </c>
    </row>
    <row r="477" ht="15.75" customHeight="1">
      <c r="A477" s="2">
        <v>2002.0</v>
      </c>
      <c r="B477" s="2">
        <v>2002.0</v>
      </c>
      <c r="C477" s="2">
        <v>3.0</v>
      </c>
      <c r="D477" s="2">
        <v>31.0</v>
      </c>
      <c r="E477" s="2" t="s">
        <v>688</v>
      </c>
      <c r="H477" s="2" t="s">
        <v>17</v>
      </c>
      <c r="I477" s="2" t="s">
        <v>28</v>
      </c>
      <c r="J477" s="1">
        <v>0.0</v>
      </c>
      <c r="K477" s="1">
        <v>0.0</v>
      </c>
      <c r="L477" s="2" t="s">
        <v>19</v>
      </c>
      <c r="M477" s="2" t="s">
        <v>103</v>
      </c>
      <c r="N477" s="2">
        <v>2.0</v>
      </c>
      <c r="P477" s="8">
        <f t="shared" si="1"/>
        <v>37346</v>
      </c>
    </row>
    <row r="478" ht="15.75" customHeight="1">
      <c r="A478" s="2">
        <v>2002.0</v>
      </c>
      <c r="B478" s="2">
        <v>2002.0</v>
      </c>
      <c r="C478" s="2">
        <v>3.0</v>
      </c>
      <c r="D478" s="2">
        <v>22.0</v>
      </c>
      <c r="E478" s="2" t="s">
        <v>689</v>
      </c>
      <c r="H478" s="2" t="s">
        <v>17</v>
      </c>
      <c r="I478" s="2" t="s">
        <v>85</v>
      </c>
      <c r="J478" s="1">
        <v>0.0</v>
      </c>
      <c r="K478" s="1">
        <v>0.0</v>
      </c>
      <c r="L478" s="2" t="s">
        <v>45</v>
      </c>
      <c r="N478" s="2">
        <v>1.0</v>
      </c>
      <c r="P478" s="8">
        <f t="shared" si="1"/>
        <v>37337</v>
      </c>
    </row>
    <row r="479" ht="15.75" customHeight="1">
      <c r="A479" s="2">
        <v>2002.0</v>
      </c>
      <c r="B479" s="2">
        <v>2002.0</v>
      </c>
      <c r="C479" s="2">
        <v>3.0</v>
      </c>
      <c r="D479" s="2">
        <v>21.0</v>
      </c>
      <c r="E479" s="2" t="s">
        <v>690</v>
      </c>
      <c r="H479" s="2" t="s">
        <v>17</v>
      </c>
      <c r="I479" s="2" t="s">
        <v>74</v>
      </c>
      <c r="J479" s="1">
        <v>0.0</v>
      </c>
      <c r="K479" s="1">
        <v>0.0</v>
      </c>
      <c r="L479" s="2" t="s">
        <v>24</v>
      </c>
      <c r="M479" s="2" t="s">
        <v>25</v>
      </c>
      <c r="N479" s="2">
        <v>1.0</v>
      </c>
      <c r="P479" s="8">
        <f t="shared" si="1"/>
        <v>37336</v>
      </c>
    </row>
    <row r="480" ht="15.75" customHeight="1">
      <c r="A480" s="2">
        <v>2002.0</v>
      </c>
      <c r="B480" s="2">
        <v>2002.0</v>
      </c>
      <c r="C480" s="2">
        <v>3.0</v>
      </c>
      <c r="D480" s="2">
        <v>17.0</v>
      </c>
      <c r="E480" s="2" t="s">
        <v>691</v>
      </c>
      <c r="H480" s="2" t="s">
        <v>17</v>
      </c>
      <c r="I480" s="2" t="s">
        <v>35</v>
      </c>
      <c r="J480" s="1">
        <v>40.139224219</v>
      </c>
      <c r="K480" s="1">
        <v>-107.348953001</v>
      </c>
      <c r="L480" s="2" t="s">
        <v>45</v>
      </c>
      <c r="N480" s="2">
        <v>1.0</v>
      </c>
      <c r="P480" s="8">
        <f t="shared" si="1"/>
        <v>37332</v>
      </c>
    </row>
    <row r="481" ht="15.75" customHeight="1">
      <c r="A481" s="2">
        <v>2002.0</v>
      </c>
      <c r="B481" s="2">
        <v>2002.0</v>
      </c>
      <c r="C481" s="2">
        <v>3.0</v>
      </c>
      <c r="D481" s="2">
        <v>16.0</v>
      </c>
      <c r="E481" s="2" t="s">
        <v>692</v>
      </c>
      <c r="H481" s="2" t="s">
        <v>196</v>
      </c>
      <c r="I481" s="2" t="s">
        <v>40</v>
      </c>
      <c r="J481" s="1">
        <v>0.0</v>
      </c>
      <c r="K481" s="1">
        <v>0.0</v>
      </c>
      <c r="L481" s="2" t="s">
        <v>197</v>
      </c>
      <c r="M481" s="2" t="s">
        <v>60</v>
      </c>
      <c r="N481" s="2">
        <v>2.0</v>
      </c>
      <c r="P481" s="8">
        <f t="shared" si="1"/>
        <v>37331</v>
      </c>
    </row>
    <row r="482" ht="15.75" customHeight="1">
      <c r="A482" s="2">
        <v>2002.0</v>
      </c>
      <c r="B482" s="2">
        <v>2002.0</v>
      </c>
      <c r="C482" s="2">
        <v>3.0</v>
      </c>
      <c r="D482" s="2">
        <v>16.0</v>
      </c>
      <c r="E482" s="2" t="s">
        <v>693</v>
      </c>
      <c r="H482" s="2" t="s">
        <v>17</v>
      </c>
      <c r="I482" s="2" t="s">
        <v>85</v>
      </c>
      <c r="J482" s="1">
        <v>0.0</v>
      </c>
      <c r="K482" s="1">
        <v>0.0</v>
      </c>
      <c r="L482" s="2" t="s">
        <v>45</v>
      </c>
      <c r="N482" s="2">
        <v>1.0</v>
      </c>
      <c r="P482" s="8">
        <f t="shared" si="1"/>
        <v>37331</v>
      </c>
    </row>
    <row r="483" ht="15.75" customHeight="1">
      <c r="A483" s="2">
        <v>2002.0</v>
      </c>
      <c r="B483" s="2">
        <v>2002.0</v>
      </c>
      <c r="C483" s="2">
        <v>3.0</v>
      </c>
      <c r="D483" s="2">
        <v>15.0</v>
      </c>
      <c r="E483" s="2" t="s">
        <v>694</v>
      </c>
      <c r="H483" s="2" t="s">
        <v>196</v>
      </c>
      <c r="I483" s="2" t="s">
        <v>35</v>
      </c>
      <c r="J483" s="1">
        <v>37.901214044</v>
      </c>
      <c r="K483" s="1">
        <v>-107.821030002</v>
      </c>
      <c r="L483" s="2" t="s">
        <v>197</v>
      </c>
      <c r="M483" s="2" t="s">
        <v>60</v>
      </c>
      <c r="N483" s="2">
        <v>1.0</v>
      </c>
      <c r="P483" s="8">
        <f t="shared" si="1"/>
        <v>37330</v>
      </c>
    </row>
    <row r="484" ht="15.75" customHeight="1">
      <c r="A484" s="2">
        <v>2002.0</v>
      </c>
      <c r="B484" s="2">
        <v>2002.0</v>
      </c>
      <c r="C484" s="2">
        <v>3.0</v>
      </c>
      <c r="D484" s="2">
        <v>14.0</v>
      </c>
      <c r="E484" s="2" t="s">
        <v>695</v>
      </c>
      <c r="H484" s="2" t="s">
        <v>17</v>
      </c>
      <c r="I484" s="2" t="s">
        <v>35</v>
      </c>
      <c r="J484" s="1">
        <v>39.004812368</v>
      </c>
      <c r="K484" s="1">
        <v>-106.801826</v>
      </c>
      <c r="L484" s="2" t="s">
        <v>24</v>
      </c>
      <c r="M484" s="2" t="s">
        <v>25</v>
      </c>
      <c r="N484" s="2">
        <v>1.0</v>
      </c>
      <c r="P484" s="8">
        <f t="shared" si="1"/>
        <v>37329</v>
      </c>
    </row>
    <row r="485" ht="15.75" customHeight="1">
      <c r="A485" s="2">
        <v>2002.0</v>
      </c>
      <c r="B485" s="2">
        <v>2002.0</v>
      </c>
      <c r="C485" s="2">
        <v>3.0</v>
      </c>
      <c r="D485" s="2">
        <v>14.0</v>
      </c>
      <c r="E485" s="2" t="s">
        <v>696</v>
      </c>
      <c r="H485" s="2" t="s">
        <v>196</v>
      </c>
      <c r="I485" s="2" t="s">
        <v>35</v>
      </c>
      <c r="J485" s="1">
        <v>39.152750204</v>
      </c>
      <c r="K485" s="1">
        <v>-106.809509</v>
      </c>
      <c r="L485" s="2" t="s">
        <v>51</v>
      </c>
      <c r="M485" s="2" t="s">
        <v>25</v>
      </c>
      <c r="N485" s="2">
        <v>1.0</v>
      </c>
      <c r="P485" s="8">
        <f t="shared" si="1"/>
        <v>37329</v>
      </c>
    </row>
    <row r="486" ht="15.75" customHeight="1">
      <c r="A486" s="2">
        <v>2002.0</v>
      </c>
      <c r="B486" s="2">
        <v>2002.0</v>
      </c>
      <c r="C486" s="2">
        <v>3.0</v>
      </c>
      <c r="D486" s="2">
        <v>11.0</v>
      </c>
      <c r="E486" s="2" t="s">
        <v>697</v>
      </c>
      <c r="H486" s="2" t="s">
        <v>17</v>
      </c>
      <c r="I486" s="2" t="s">
        <v>49</v>
      </c>
      <c r="J486" s="1">
        <v>0.0</v>
      </c>
      <c r="K486" s="1">
        <v>0.0</v>
      </c>
      <c r="L486" s="2" t="s">
        <v>45</v>
      </c>
      <c r="N486" s="2">
        <v>1.0</v>
      </c>
      <c r="P486" s="8">
        <f t="shared" si="1"/>
        <v>37326</v>
      </c>
    </row>
    <row r="487" ht="15.75" customHeight="1">
      <c r="A487" s="2">
        <v>2002.0</v>
      </c>
      <c r="B487" s="2">
        <v>2002.0</v>
      </c>
      <c r="C487" s="2">
        <v>3.0</v>
      </c>
      <c r="D487" s="2">
        <v>9.0</v>
      </c>
      <c r="E487" s="2" t="s">
        <v>698</v>
      </c>
      <c r="H487" s="2" t="s">
        <v>196</v>
      </c>
      <c r="I487" s="2" t="s">
        <v>18</v>
      </c>
      <c r="J487" s="1">
        <v>0.0</v>
      </c>
      <c r="K487" s="1">
        <v>0.0</v>
      </c>
      <c r="L487" s="2" t="s">
        <v>197</v>
      </c>
      <c r="M487" s="2" t="s">
        <v>60</v>
      </c>
      <c r="N487" s="2">
        <v>1.0</v>
      </c>
      <c r="P487" s="8">
        <f t="shared" si="1"/>
        <v>37324</v>
      </c>
    </row>
    <row r="488" ht="15.75" customHeight="1">
      <c r="A488" s="2">
        <v>2002.0</v>
      </c>
      <c r="B488" s="2">
        <v>2002.0</v>
      </c>
      <c r="C488" s="2">
        <v>2.0</v>
      </c>
      <c r="D488" s="2">
        <v>24.0</v>
      </c>
      <c r="E488" s="2" t="s">
        <v>699</v>
      </c>
      <c r="H488" s="2" t="s">
        <v>17</v>
      </c>
      <c r="I488" s="2" t="s">
        <v>35</v>
      </c>
      <c r="J488" s="1">
        <v>39.360682131</v>
      </c>
      <c r="K488" s="1">
        <v>-107.429977001</v>
      </c>
      <c r="L488" s="2" t="s">
        <v>45</v>
      </c>
      <c r="N488" s="2">
        <v>1.0</v>
      </c>
      <c r="P488" s="8">
        <f t="shared" si="1"/>
        <v>37311</v>
      </c>
    </row>
    <row r="489" ht="15.75" customHeight="1">
      <c r="A489" s="2">
        <v>2002.0</v>
      </c>
      <c r="B489" s="2">
        <v>2002.0</v>
      </c>
      <c r="C489" s="2">
        <v>2.0</v>
      </c>
      <c r="D489" s="2">
        <v>16.0</v>
      </c>
      <c r="E489" s="2" t="s">
        <v>664</v>
      </c>
      <c r="H489" s="2" t="s">
        <v>17</v>
      </c>
      <c r="I489" s="2" t="s">
        <v>85</v>
      </c>
      <c r="J489" s="1">
        <v>0.0</v>
      </c>
      <c r="K489" s="1">
        <v>0.0</v>
      </c>
      <c r="L489" s="2" t="s">
        <v>45</v>
      </c>
      <c r="M489" s="2" t="s">
        <v>46</v>
      </c>
      <c r="N489" s="2">
        <v>2.0</v>
      </c>
      <c r="P489" s="8">
        <f t="shared" si="1"/>
        <v>37303</v>
      </c>
    </row>
    <row r="490" ht="15.75" customHeight="1">
      <c r="A490" s="2">
        <v>2002.0</v>
      </c>
      <c r="B490" s="2">
        <v>2002.0</v>
      </c>
      <c r="C490" s="2">
        <v>2.0</v>
      </c>
      <c r="D490" s="2">
        <v>10.0</v>
      </c>
      <c r="E490" s="2" t="s">
        <v>700</v>
      </c>
      <c r="H490" s="2" t="s">
        <v>17</v>
      </c>
      <c r="I490" s="2" t="s">
        <v>85</v>
      </c>
      <c r="J490" s="1">
        <v>0.0</v>
      </c>
      <c r="K490" s="1">
        <v>0.0</v>
      </c>
      <c r="L490" s="2" t="s">
        <v>45</v>
      </c>
      <c r="N490" s="2">
        <v>1.0</v>
      </c>
      <c r="P490" s="8">
        <f t="shared" si="1"/>
        <v>37297</v>
      </c>
    </row>
    <row r="491" ht="15.75" customHeight="1">
      <c r="A491" s="2">
        <v>2002.0</v>
      </c>
      <c r="B491" s="2">
        <v>2002.0</v>
      </c>
      <c r="C491" s="2">
        <v>2.0</v>
      </c>
      <c r="D491" s="2">
        <v>6.0</v>
      </c>
      <c r="E491" s="2" t="s">
        <v>701</v>
      </c>
      <c r="H491" s="2" t="s">
        <v>17</v>
      </c>
      <c r="I491" s="2" t="s">
        <v>35</v>
      </c>
      <c r="J491" s="1">
        <v>38.958063447</v>
      </c>
      <c r="K491" s="1">
        <v>-106.798096</v>
      </c>
      <c r="L491" s="2" t="s">
        <v>24</v>
      </c>
      <c r="M491" s="2" t="s">
        <v>25</v>
      </c>
      <c r="N491" s="2">
        <v>1.0</v>
      </c>
      <c r="P491" s="8">
        <f t="shared" si="1"/>
        <v>37293</v>
      </c>
    </row>
    <row r="492" ht="15.75" customHeight="1">
      <c r="A492" s="2">
        <v>2002.0</v>
      </c>
      <c r="B492" s="2">
        <v>2002.0</v>
      </c>
      <c r="C492" s="2">
        <v>2.0</v>
      </c>
      <c r="D492" s="2">
        <v>1.0</v>
      </c>
      <c r="E492" s="2" t="s">
        <v>702</v>
      </c>
      <c r="H492" s="2" t="s">
        <v>196</v>
      </c>
      <c r="I492" s="2" t="s">
        <v>35</v>
      </c>
      <c r="J492" s="1">
        <v>39.167724914</v>
      </c>
      <c r="K492" s="1">
        <v>-106.866333</v>
      </c>
      <c r="L492" s="2" t="s">
        <v>51</v>
      </c>
      <c r="M492" s="2" t="s">
        <v>25</v>
      </c>
      <c r="N492" s="2">
        <v>1.0</v>
      </c>
      <c r="P492" s="8">
        <f t="shared" si="1"/>
        <v>37288</v>
      </c>
    </row>
    <row r="493" ht="15.75" customHeight="1">
      <c r="A493" s="2">
        <v>2002.0</v>
      </c>
      <c r="B493" s="2">
        <v>2002.0</v>
      </c>
      <c r="C493" s="2">
        <v>1.0</v>
      </c>
      <c r="D493" s="2">
        <v>31.0</v>
      </c>
      <c r="E493" s="2" t="s">
        <v>703</v>
      </c>
      <c r="H493" s="2" t="s">
        <v>17</v>
      </c>
      <c r="I493" s="2" t="s">
        <v>40</v>
      </c>
      <c r="J493" s="1">
        <v>0.0</v>
      </c>
      <c r="K493" s="1">
        <v>0.0</v>
      </c>
      <c r="L493" s="2" t="s">
        <v>24</v>
      </c>
      <c r="M493" s="2" t="s">
        <v>25</v>
      </c>
      <c r="N493" s="2">
        <v>1.0</v>
      </c>
      <c r="P493" s="8">
        <f t="shared" si="1"/>
        <v>37287</v>
      </c>
    </row>
    <row r="494" ht="15.75" customHeight="1">
      <c r="A494" s="2">
        <v>2002.0</v>
      </c>
      <c r="B494" s="2">
        <v>2002.0</v>
      </c>
      <c r="C494" s="2">
        <v>1.0</v>
      </c>
      <c r="D494" s="2">
        <v>26.0</v>
      </c>
      <c r="E494" s="2" t="s">
        <v>704</v>
      </c>
      <c r="H494" s="2" t="s">
        <v>17</v>
      </c>
      <c r="I494" s="2" t="s">
        <v>85</v>
      </c>
      <c r="J494" s="1">
        <v>0.0</v>
      </c>
      <c r="K494" s="1">
        <v>0.0</v>
      </c>
      <c r="L494" s="2" t="s">
        <v>45</v>
      </c>
      <c r="M494" s="2" t="s">
        <v>46</v>
      </c>
      <c r="N494" s="2">
        <v>4.0</v>
      </c>
      <c r="P494" s="8">
        <f t="shared" si="1"/>
        <v>37282</v>
      </c>
    </row>
    <row r="495" ht="15.75" customHeight="1">
      <c r="A495" s="2">
        <v>2002.0</v>
      </c>
      <c r="B495" s="2">
        <v>2002.0</v>
      </c>
      <c r="C495" s="2">
        <v>1.0</v>
      </c>
      <c r="D495" s="2">
        <v>12.0</v>
      </c>
      <c r="E495" s="2" t="s">
        <v>705</v>
      </c>
      <c r="H495" s="2" t="s">
        <v>17</v>
      </c>
      <c r="I495" s="2" t="s">
        <v>28</v>
      </c>
      <c r="J495" s="1">
        <v>0.0</v>
      </c>
      <c r="K495" s="1">
        <v>0.0</v>
      </c>
      <c r="L495" s="2" t="s">
        <v>45</v>
      </c>
      <c r="M495" s="2" t="s">
        <v>46</v>
      </c>
      <c r="N495" s="2">
        <v>2.0</v>
      </c>
      <c r="P495" s="8">
        <f t="shared" si="1"/>
        <v>37268</v>
      </c>
    </row>
    <row r="496" ht="15.75" customHeight="1">
      <c r="A496" s="2">
        <v>2002.0</v>
      </c>
      <c r="B496" s="2">
        <v>2001.0</v>
      </c>
      <c r="C496" s="2">
        <v>12.0</v>
      </c>
      <c r="D496" s="2">
        <v>31.0</v>
      </c>
      <c r="E496" s="2" t="s">
        <v>706</v>
      </c>
      <c r="H496" s="2" t="s">
        <v>17</v>
      </c>
      <c r="I496" s="2" t="s">
        <v>85</v>
      </c>
      <c r="J496" s="1">
        <v>0.0</v>
      </c>
      <c r="K496" s="1">
        <v>0.0</v>
      </c>
      <c r="L496" s="2" t="s">
        <v>45</v>
      </c>
      <c r="N496" s="2">
        <v>1.0</v>
      </c>
      <c r="P496" s="8">
        <f t="shared" si="1"/>
        <v>37256</v>
      </c>
    </row>
    <row r="497" ht="15.75" customHeight="1">
      <c r="A497" s="2">
        <v>2002.0</v>
      </c>
      <c r="B497" s="2">
        <v>2001.0</v>
      </c>
      <c r="C497" s="2">
        <v>12.0</v>
      </c>
      <c r="D497" s="2">
        <v>24.0</v>
      </c>
      <c r="E497" s="2" t="s">
        <v>707</v>
      </c>
      <c r="H497" s="2" t="s">
        <v>17</v>
      </c>
      <c r="I497" s="2" t="s">
        <v>28</v>
      </c>
      <c r="J497" s="1">
        <v>0.0</v>
      </c>
      <c r="K497" s="1">
        <v>0.0</v>
      </c>
      <c r="L497" s="2" t="s">
        <v>45</v>
      </c>
      <c r="N497" s="2">
        <v>1.0</v>
      </c>
      <c r="P497" s="8">
        <f t="shared" si="1"/>
        <v>37249</v>
      </c>
    </row>
    <row r="498" ht="15.75" customHeight="1">
      <c r="A498" s="2">
        <v>2002.0</v>
      </c>
      <c r="B498" s="2">
        <v>2001.0</v>
      </c>
      <c r="C498" s="2">
        <v>12.0</v>
      </c>
      <c r="D498" s="2">
        <v>23.0</v>
      </c>
      <c r="E498" s="2" t="s">
        <v>708</v>
      </c>
      <c r="H498" s="2" t="s">
        <v>17</v>
      </c>
      <c r="I498" s="2" t="s">
        <v>28</v>
      </c>
      <c r="J498" s="1">
        <v>0.0</v>
      </c>
      <c r="K498" s="1">
        <v>0.0</v>
      </c>
      <c r="L498" s="2" t="s">
        <v>45</v>
      </c>
      <c r="N498" s="2">
        <v>1.0</v>
      </c>
      <c r="P498" s="8">
        <f t="shared" si="1"/>
        <v>37248</v>
      </c>
    </row>
    <row r="499" ht="15.75" customHeight="1">
      <c r="A499" s="2">
        <v>2002.0</v>
      </c>
      <c r="B499" s="2">
        <v>2001.0</v>
      </c>
      <c r="C499" s="2">
        <v>12.0</v>
      </c>
      <c r="D499" s="2">
        <v>12.0</v>
      </c>
      <c r="E499" s="2" t="s">
        <v>709</v>
      </c>
      <c r="H499" s="2" t="s">
        <v>17</v>
      </c>
      <c r="I499" s="2" t="s">
        <v>28</v>
      </c>
      <c r="J499" s="1">
        <v>0.0</v>
      </c>
      <c r="K499" s="1">
        <v>0.0</v>
      </c>
      <c r="L499" s="2" t="s">
        <v>45</v>
      </c>
      <c r="N499" s="2">
        <v>1.0</v>
      </c>
      <c r="P499" s="8">
        <f t="shared" si="1"/>
        <v>37237</v>
      </c>
    </row>
    <row r="500" ht="15.75" customHeight="1">
      <c r="A500" s="2">
        <v>2002.0</v>
      </c>
      <c r="B500" s="2">
        <v>2001.0</v>
      </c>
      <c r="C500" s="2">
        <v>11.0</v>
      </c>
      <c r="D500" s="2">
        <v>28.0</v>
      </c>
      <c r="E500" s="2" t="s">
        <v>710</v>
      </c>
      <c r="H500" s="2" t="s">
        <v>17</v>
      </c>
      <c r="I500" s="2" t="s">
        <v>35</v>
      </c>
      <c r="J500" s="1">
        <v>39.93797283</v>
      </c>
      <c r="K500" s="1">
        <v>-105.655472</v>
      </c>
      <c r="L500" s="2" t="s">
        <v>24</v>
      </c>
      <c r="M500" s="2" t="s">
        <v>25</v>
      </c>
      <c r="N500" s="2">
        <v>1.0</v>
      </c>
      <c r="P500" s="8">
        <f t="shared" si="1"/>
        <v>37223</v>
      </c>
    </row>
    <row r="501" ht="15.75" customHeight="1">
      <c r="A501" s="2">
        <v>2002.0</v>
      </c>
      <c r="B501" s="2">
        <v>2001.0</v>
      </c>
      <c r="C501" s="2">
        <v>11.0</v>
      </c>
      <c r="D501" s="2">
        <v>11.0</v>
      </c>
      <c r="E501" s="2" t="s">
        <v>674</v>
      </c>
      <c r="H501" s="2" t="s">
        <v>17</v>
      </c>
      <c r="I501" s="2" t="s">
        <v>28</v>
      </c>
      <c r="J501" s="1">
        <v>0.0</v>
      </c>
      <c r="K501" s="1">
        <v>0.0</v>
      </c>
      <c r="L501" s="2" t="s">
        <v>19</v>
      </c>
      <c r="M501" s="2" t="s">
        <v>103</v>
      </c>
      <c r="N501" s="2">
        <v>1.0</v>
      </c>
      <c r="P501" s="8">
        <f t="shared" si="1"/>
        <v>37206</v>
      </c>
    </row>
    <row r="502" ht="15.75" customHeight="1">
      <c r="A502" s="2">
        <v>2001.0</v>
      </c>
      <c r="B502" s="2">
        <v>2001.0</v>
      </c>
      <c r="C502" s="2">
        <v>4.0</v>
      </c>
      <c r="D502" s="2">
        <v>28.0</v>
      </c>
      <c r="E502" s="2" t="s">
        <v>711</v>
      </c>
      <c r="H502" s="2" t="s">
        <v>17</v>
      </c>
      <c r="I502" s="2" t="s">
        <v>40</v>
      </c>
      <c r="J502" s="1">
        <v>0.0</v>
      </c>
      <c r="K502" s="1">
        <v>0.0</v>
      </c>
      <c r="L502" s="2" t="s">
        <v>29</v>
      </c>
      <c r="M502" s="2" t="s">
        <v>103</v>
      </c>
      <c r="N502" s="2">
        <v>2.0</v>
      </c>
      <c r="P502" s="8">
        <f t="shared" si="1"/>
        <v>37009</v>
      </c>
    </row>
    <row r="503" ht="15.75" customHeight="1">
      <c r="A503" s="2">
        <v>2001.0</v>
      </c>
      <c r="B503" s="2">
        <v>2001.0</v>
      </c>
      <c r="C503" s="2">
        <v>4.0</v>
      </c>
      <c r="D503" s="2">
        <v>11.0</v>
      </c>
      <c r="E503" s="2" t="s">
        <v>712</v>
      </c>
      <c r="H503" s="2" t="s">
        <v>17</v>
      </c>
      <c r="I503" s="2" t="s">
        <v>77</v>
      </c>
      <c r="J503" s="1">
        <v>0.0</v>
      </c>
      <c r="K503" s="1">
        <v>0.0</v>
      </c>
      <c r="L503" s="2" t="s">
        <v>45</v>
      </c>
      <c r="N503" s="2">
        <v>1.0</v>
      </c>
      <c r="P503" s="8">
        <f t="shared" si="1"/>
        <v>36992</v>
      </c>
    </row>
    <row r="504" ht="15.75" customHeight="1">
      <c r="A504" s="2">
        <v>2001.0</v>
      </c>
      <c r="B504" s="2">
        <v>2001.0</v>
      </c>
      <c r="C504" s="2">
        <v>4.0</v>
      </c>
      <c r="D504" s="2">
        <v>4.0</v>
      </c>
      <c r="E504" s="2" t="s">
        <v>713</v>
      </c>
      <c r="H504" s="2" t="s">
        <v>17</v>
      </c>
      <c r="I504" s="2" t="s">
        <v>85</v>
      </c>
      <c r="J504" s="1">
        <v>0.0</v>
      </c>
      <c r="K504" s="1">
        <v>0.0</v>
      </c>
      <c r="L504" s="2" t="s">
        <v>24</v>
      </c>
      <c r="M504" s="2" t="s">
        <v>25</v>
      </c>
      <c r="N504" s="2">
        <v>1.0</v>
      </c>
      <c r="P504" s="8">
        <f t="shared" si="1"/>
        <v>36985</v>
      </c>
    </row>
    <row r="505" ht="15.75" customHeight="1">
      <c r="A505" s="2">
        <v>2001.0</v>
      </c>
      <c r="B505" s="2">
        <v>2001.0</v>
      </c>
      <c r="C505" s="2">
        <v>4.0</v>
      </c>
      <c r="D505" s="2">
        <v>4.0</v>
      </c>
      <c r="E505" s="2" t="s">
        <v>714</v>
      </c>
      <c r="H505" s="2" t="s">
        <v>17</v>
      </c>
      <c r="I505" s="2" t="s">
        <v>85</v>
      </c>
      <c r="J505" s="1">
        <v>0.0</v>
      </c>
      <c r="K505" s="1">
        <v>0.0</v>
      </c>
      <c r="L505" s="2" t="s">
        <v>45</v>
      </c>
      <c r="N505" s="2">
        <v>1.0</v>
      </c>
      <c r="P505" s="8">
        <f t="shared" si="1"/>
        <v>36985</v>
      </c>
    </row>
    <row r="506" ht="15.75" customHeight="1">
      <c r="A506" s="2">
        <v>2001.0</v>
      </c>
      <c r="B506" s="2">
        <v>2001.0</v>
      </c>
      <c r="C506" s="2">
        <v>4.0</v>
      </c>
      <c r="D506" s="2">
        <v>3.0</v>
      </c>
      <c r="E506" s="2" t="s">
        <v>715</v>
      </c>
      <c r="H506" s="2" t="s">
        <v>17</v>
      </c>
      <c r="I506" s="2" t="s">
        <v>35</v>
      </c>
      <c r="J506" s="1">
        <v>39.458460511</v>
      </c>
      <c r="K506" s="1">
        <v>-106.12999</v>
      </c>
      <c r="L506" s="2" t="s">
        <v>45</v>
      </c>
      <c r="N506" s="2">
        <v>1.0</v>
      </c>
      <c r="P506" s="8">
        <f t="shared" si="1"/>
        <v>36984</v>
      </c>
    </row>
    <row r="507" ht="15.75" customHeight="1">
      <c r="A507" s="2">
        <v>2001.0</v>
      </c>
      <c r="B507" s="2">
        <v>2001.0</v>
      </c>
      <c r="C507" s="2">
        <v>3.0</v>
      </c>
      <c r="D507" s="2">
        <v>18.0</v>
      </c>
      <c r="E507" s="2" t="s">
        <v>716</v>
      </c>
      <c r="H507" s="2" t="s">
        <v>17</v>
      </c>
      <c r="I507" s="2" t="s">
        <v>35</v>
      </c>
      <c r="J507" s="1">
        <v>40.825879513</v>
      </c>
      <c r="K507" s="1">
        <v>-106.842384</v>
      </c>
      <c r="L507" s="2" t="s">
        <v>24</v>
      </c>
      <c r="M507" s="2" t="s">
        <v>25</v>
      </c>
      <c r="N507" s="2">
        <v>1.0</v>
      </c>
      <c r="P507" s="8">
        <f t="shared" si="1"/>
        <v>36968</v>
      </c>
    </row>
    <row r="508" ht="15.75" customHeight="1">
      <c r="A508" s="2">
        <v>2001.0</v>
      </c>
      <c r="B508" s="2">
        <v>2001.0</v>
      </c>
      <c r="C508" s="2">
        <v>3.0</v>
      </c>
      <c r="D508" s="2">
        <v>18.0</v>
      </c>
      <c r="E508" s="2" t="s">
        <v>717</v>
      </c>
      <c r="H508" s="2" t="s">
        <v>17</v>
      </c>
      <c r="I508" s="2" t="s">
        <v>28</v>
      </c>
      <c r="J508" s="1">
        <v>0.0</v>
      </c>
      <c r="K508" s="1">
        <v>0.0</v>
      </c>
      <c r="L508" s="2" t="s">
        <v>45</v>
      </c>
      <c r="N508" s="2">
        <v>1.0</v>
      </c>
      <c r="P508" s="8">
        <f t="shared" si="1"/>
        <v>36968</v>
      </c>
    </row>
    <row r="509" ht="15.75" customHeight="1">
      <c r="A509" s="2">
        <v>2001.0</v>
      </c>
      <c r="B509" s="2">
        <v>2001.0</v>
      </c>
      <c r="C509" s="2">
        <v>3.0</v>
      </c>
      <c r="D509" s="2">
        <v>10.0</v>
      </c>
      <c r="E509" s="2" t="s">
        <v>718</v>
      </c>
      <c r="H509" s="2" t="s">
        <v>17</v>
      </c>
      <c r="I509" s="2" t="s">
        <v>40</v>
      </c>
      <c r="J509" s="1">
        <v>0.0</v>
      </c>
      <c r="K509" s="1">
        <v>0.0</v>
      </c>
      <c r="L509" s="2" t="s">
        <v>45</v>
      </c>
      <c r="M509" s="2" t="s">
        <v>46</v>
      </c>
      <c r="N509" s="2">
        <v>2.0</v>
      </c>
      <c r="P509" s="8">
        <f t="shared" si="1"/>
        <v>36960</v>
      </c>
    </row>
    <row r="510" ht="15.75" customHeight="1">
      <c r="A510" s="2">
        <v>2001.0</v>
      </c>
      <c r="B510" s="2">
        <v>2001.0</v>
      </c>
      <c r="C510" s="2">
        <v>3.0</v>
      </c>
      <c r="D510" s="2">
        <v>3.0</v>
      </c>
      <c r="E510" s="2" t="s">
        <v>719</v>
      </c>
      <c r="H510" s="2" t="s">
        <v>17</v>
      </c>
      <c r="I510" s="2" t="s">
        <v>74</v>
      </c>
      <c r="J510" s="1">
        <v>0.0</v>
      </c>
      <c r="K510" s="1">
        <v>0.0</v>
      </c>
      <c r="L510" s="2" t="s">
        <v>45</v>
      </c>
      <c r="N510" s="2">
        <v>1.0</v>
      </c>
      <c r="P510" s="8">
        <f t="shared" si="1"/>
        <v>36953</v>
      </c>
    </row>
    <row r="511" ht="15.75" customHeight="1">
      <c r="A511" s="2">
        <v>2001.0</v>
      </c>
      <c r="B511" s="2">
        <v>2001.0</v>
      </c>
      <c r="C511" s="2">
        <v>2.0</v>
      </c>
      <c r="D511" s="2">
        <v>27.0</v>
      </c>
      <c r="E511" s="2" t="s">
        <v>720</v>
      </c>
      <c r="H511" s="2" t="s">
        <v>196</v>
      </c>
      <c r="I511" s="2" t="s">
        <v>40</v>
      </c>
      <c r="J511" s="1">
        <v>0.0</v>
      </c>
      <c r="K511" s="1">
        <v>0.0</v>
      </c>
      <c r="L511" s="2" t="s">
        <v>51</v>
      </c>
      <c r="M511" s="2" t="s">
        <v>25</v>
      </c>
      <c r="N511" s="2">
        <v>1.0</v>
      </c>
      <c r="P511" s="8">
        <f t="shared" si="1"/>
        <v>36949</v>
      </c>
    </row>
    <row r="512" ht="15.75" customHeight="1">
      <c r="A512" s="2">
        <v>2001.0</v>
      </c>
      <c r="B512" s="2">
        <v>2001.0</v>
      </c>
      <c r="C512" s="2">
        <v>2.0</v>
      </c>
      <c r="D512" s="2">
        <v>25.0</v>
      </c>
      <c r="E512" s="2" t="s">
        <v>721</v>
      </c>
      <c r="H512" s="2" t="s">
        <v>17</v>
      </c>
      <c r="I512" s="2" t="s">
        <v>35</v>
      </c>
      <c r="J512" s="1">
        <v>38.831266329</v>
      </c>
      <c r="K512" s="1">
        <v>-107.096786</v>
      </c>
      <c r="L512" s="2" t="s">
        <v>24</v>
      </c>
      <c r="M512" s="2" t="s">
        <v>25</v>
      </c>
      <c r="N512" s="2">
        <v>1.0</v>
      </c>
      <c r="P512" s="8">
        <f t="shared" si="1"/>
        <v>36947</v>
      </c>
    </row>
    <row r="513" ht="15.75" customHeight="1">
      <c r="A513" s="2">
        <v>2001.0</v>
      </c>
      <c r="B513" s="2">
        <v>2001.0</v>
      </c>
      <c r="C513" s="2">
        <v>2.0</v>
      </c>
      <c r="D513" s="2">
        <v>23.0</v>
      </c>
      <c r="E513" s="2" t="s">
        <v>722</v>
      </c>
      <c r="H513" s="9" t="s">
        <v>17</v>
      </c>
      <c r="I513" s="2" t="s">
        <v>74</v>
      </c>
      <c r="J513" s="1">
        <v>0.0</v>
      </c>
      <c r="K513" s="1">
        <v>0.0</v>
      </c>
      <c r="L513" s="2" t="s">
        <v>51</v>
      </c>
      <c r="M513" s="2" t="s">
        <v>25</v>
      </c>
      <c r="N513" s="2">
        <v>1.0</v>
      </c>
      <c r="P513" s="8">
        <f t="shared" si="1"/>
        <v>36945</v>
      </c>
    </row>
    <row r="514" ht="15.75" customHeight="1">
      <c r="A514" s="2">
        <v>2001.0</v>
      </c>
      <c r="B514" s="2">
        <v>2001.0</v>
      </c>
      <c r="C514" s="2">
        <v>2.0</v>
      </c>
      <c r="D514" s="2">
        <v>21.0</v>
      </c>
      <c r="E514" s="2" t="s">
        <v>723</v>
      </c>
      <c r="H514" s="2" t="s">
        <v>196</v>
      </c>
      <c r="I514" s="2" t="s">
        <v>18</v>
      </c>
      <c r="J514" s="1">
        <v>0.0</v>
      </c>
      <c r="K514" s="1">
        <v>0.0</v>
      </c>
      <c r="L514" s="2" t="s">
        <v>51</v>
      </c>
      <c r="M514" s="2" t="s">
        <v>25</v>
      </c>
      <c r="N514" s="2">
        <v>2.0</v>
      </c>
      <c r="P514" s="8">
        <f t="shared" si="1"/>
        <v>36943</v>
      </c>
    </row>
    <row r="515" ht="15.75" customHeight="1">
      <c r="A515" s="2">
        <v>2001.0</v>
      </c>
      <c r="B515" s="2">
        <v>2001.0</v>
      </c>
      <c r="C515" s="2">
        <v>2.0</v>
      </c>
      <c r="D515" s="2">
        <v>17.0</v>
      </c>
      <c r="E515" s="2" t="s">
        <v>724</v>
      </c>
      <c r="H515" s="2" t="s">
        <v>17</v>
      </c>
      <c r="I515" s="2" t="s">
        <v>77</v>
      </c>
      <c r="J515" s="1">
        <v>0.0</v>
      </c>
      <c r="K515" s="1">
        <v>0.0</v>
      </c>
      <c r="L515" s="2" t="s">
        <v>45</v>
      </c>
      <c r="N515" s="2">
        <v>1.0</v>
      </c>
      <c r="P515" s="8">
        <f t="shared" si="1"/>
        <v>36939</v>
      </c>
    </row>
    <row r="516" ht="15.75" customHeight="1">
      <c r="A516" s="2">
        <v>2001.0</v>
      </c>
      <c r="B516" s="2">
        <v>2001.0</v>
      </c>
      <c r="C516" s="2">
        <v>2.0</v>
      </c>
      <c r="D516" s="2">
        <v>6.0</v>
      </c>
      <c r="E516" s="2" t="s">
        <v>725</v>
      </c>
      <c r="H516" s="2" t="s">
        <v>196</v>
      </c>
      <c r="I516" s="2" t="s">
        <v>74</v>
      </c>
      <c r="J516" s="1">
        <v>0.0</v>
      </c>
      <c r="K516" s="1">
        <v>0.0</v>
      </c>
      <c r="L516" s="2" t="s">
        <v>51</v>
      </c>
      <c r="M516" s="2" t="s">
        <v>25</v>
      </c>
      <c r="N516" s="2">
        <v>1.0</v>
      </c>
      <c r="P516" s="8">
        <f t="shared" si="1"/>
        <v>36928</v>
      </c>
    </row>
    <row r="517" ht="15.75" customHeight="1">
      <c r="A517" s="2">
        <v>2001.0</v>
      </c>
      <c r="B517" s="2">
        <v>2001.0</v>
      </c>
      <c r="C517" s="2">
        <v>2.0</v>
      </c>
      <c r="D517" s="2">
        <v>3.0</v>
      </c>
      <c r="E517" s="2" t="s">
        <v>726</v>
      </c>
      <c r="H517" s="2" t="s">
        <v>17</v>
      </c>
      <c r="I517" s="2" t="s">
        <v>28</v>
      </c>
      <c r="J517" s="1">
        <v>0.0</v>
      </c>
      <c r="K517" s="1">
        <v>0.0</v>
      </c>
      <c r="L517" s="2" t="s">
        <v>45</v>
      </c>
      <c r="M517" s="2" t="s">
        <v>46</v>
      </c>
      <c r="N517" s="2">
        <v>2.0</v>
      </c>
      <c r="P517" s="8">
        <f t="shared" si="1"/>
        <v>36925</v>
      </c>
    </row>
    <row r="518" ht="15.75" customHeight="1">
      <c r="A518" s="2">
        <v>2001.0</v>
      </c>
      <c r="B518" s="2">
        <v>2001.0</v>
      </c>
      <c r="C518" s="2">
        <v>1.0</v>
      </c>
      <c r="D518" s="2">
        <v>29.0</v>
      </c>
      <c r="E518" s="2" t="s">
        <v>727</v>
      </c>
      <c r="H518" s="2" t="s">
        <v>17</v>
      </c>
      <c r="I518" s="2" t="s">
        <v>77</v>
      </c>
      <c r="J518" s="1">
        <v>0.0</v>
      </c>
      <c r="K518" s="1">
        <v>0.0</v>
      </c>
      <c r="L518" s="2" t="s">
        <v>19</v>
      </c>
      <c r="M518" s="2" t="s">
        <v>103</v>
      </c>
      <c r="N518" s="2">
        <v>1.0</v>
      </c>
      <c r="P518" s="8">
        <f t="shared" si="1"/>
        <v>36920</v>
      </c>
    </row>
    <row r="519" ht="15.75" customHeight="1">
      <c r="A519" s="2">
        <v>2001.0</v>
      </c>
      <c r="B519" s="2">
        <v>2001.0</v>
      </c>
      <c r="C519" s="2">
        <v>1.0</v>
      </c>
      <c r="D519" s="2">
        <v>17.0</v>
      </c>
      <c r="E519" s="2" t="s">
        <v>728</v>
      </c>
      <c r="H519" s="2" t="s">
        <v>17</v>
      </c>
      <c r="I519" s="2" t="s">
        <v>85</v>
      </c>
      <c r="J519" s="1">
        <v>0.0</v>
      </c>
      <c r="K519" s="1">
        <v>0.0</v>
      </c>
      <c r="L519" s="2" t="s">
        <v>45</v>
      </c>
      <c r="N519" s="2">
        <v>1.0</v>
      </c>
      <c r="P519" s="8">
        <f t="shared" si="1"/>
        <v>36908</v>
      </c>
    </row>
    <row r="520" ht="15.75" customHeight="1">
      <c r="A520" s="2">
        <v>2001.0</v>
      </c>
      <c r="B520" s="2">
        <v>2000.0</v>
      </c>
      <c r="C520" s="2">
        <v>12.0</v>
      </c>
      <c r="D520" s="2">
        <v>31.0</v>
      </c>
      <c r="E520" s="2" t="s">
        <v>729</v>
      </c>
      <c r="H520" s="2" t="s">
        <v>17</v>
      </c>
      <c r="I520" s="2" t="s">
        <v>85</v>
      </c>
      <c r="J520" s="1">
        <v>0.0</v>
      </c>
      <c r="K520" s="1">
        <v>0.0</v>
      </c>
      <c r="L520" s="2" t="s">
        <v>19</v>
      </c>
      <c r="M520" s="2" t="s">
        <v>20</v>
      </c>
      <c r="N520" s="2">
        <v>2.0</v>
      </c>
      <c r="P520" s="8">
        <f t="shared" si="1"/>
        <v>36891</v>
      </c>
    </row>
    <row r="521" ht="15.75" customHeight="1">
      <c r="A521" s="2">
        <v>2001.0</v>
      </c>
      <c r="B521" s="2">
        <v>2000.0</v>
      </c>
      <c r="C521" s="2">
        <v>12.0</v>
      </c>
      <c r="D521" s="2">
        <v>29.0</v>
      </c>
      <c r="E521" s="2" t="s">
        <v>730</v>
      </c>
      <c r="H521" s="2" t="s">
        <v>17</v>
      </c>
      <c r="I521" s="2" t="s">
        <v>35</v>
      </c>
      <c r="J521" s="1">
        <v>40.514811401</v>
      </c>
      <c r="K521" s="1">
        <v>-105.899963</v>
      </c>
      <c r="L521" s="2" t="s">
        <v>45</v>
      </c>
      <c r="N521" s="2">
        <v>1.0</v>
      </c>
      <c r="P521" s="8">
        <f t="shared" si="1"/>
        <v>36889</v>
      </c>
    </row>
    <row r="522" ht="15.75" customHeight="1">
      <c r="A522" s="2">
        <v>2001.0</v>
      </c>
      <c r="B522" s="2">
        <v>2000.0</v>
      </c>
      <c r="C522" s="2">
        <v>12.0</v>
      </c>
      <c r="D522" s="2">
        <v>25.0</v>
      </c>
      <c r="E522" s="2" t="s">
        <v>731</v>
      </c>
      <c r="H522" s="2" t="s">
        <v>17</v>
      </c>
      <c r="I522" s="2" t="s">
        <v>74</v>
      </c>
      <c r="J522" s="1">
        <v>0.0</v>
      </c>
      <c r="K522" s="1">
        <v>0.0</v>
      </c>
      <c r="L522" s="2" t="s">
        <v>24</v>
      </c>
      <c r="M522" s="2" t="s">
        <v>25</v>
      </c>
      <c r="N522" s="2">
        <v>1.0</v>
      </c>
      <c r="P522" s="8">
        <f t="shared" si="1"/>
        <v>36885</v>
      </c>
    </row>
    <row r="523" ht="15.75" customHeight="1">
      <c r="A523" s="2">
        <v>2001.0</v>
      </c>
      <c r="B523" s="2">
        <v>2000.0</v>
      </c>
      <c r="C523" s="2">
        <v>12.0</v>
      </c>
      <c r="D523" s="2">
        <v>17.0</v>
      </c>
      <c r="E523" s="2" t="s">
        <v>732</v>
      </c>
      <c r="H523" s="2" t="s">
        <v>17</v>
      </c>
      <c r="I523" s="2" t="s">
        <v>85</v>
      </c>
      <c r="J523" s="1">
        <v>0.0</v>
      </c>
      <c r="K523" s="1">
        <v>0.0</v>
      </c>
      <c r="L523" s="2" t="s">
        <v>45</v>
      </c>
      <c r="M523" s="2" t="s">
        <v>20</v>
      </c>
      <c r="N523" s="2">
        <v>2.0</v>
      </c>
      <c r="P523" s="8">
        <f t="shared" si="1"/>
        <v>36877</v>
      </c>
    </row>
    <row r="524" ht="15.75" customHeight="1">
      <c r="A524" s="2">
        <v>2001.0</v>
      </c>
      <c r="B524" s="2">
        <v>2000.0</v>
      </c>
      <c r="C524" s="2">
        <v>12.0</v>
      </c>
      <c r="D524" s="2">
        <v>14.0</v>
      </c>
      <c r="E524" s="2" t="s">
        <v>733</v>
      </c>
      <c r="H524" s="2" t="s">
        <v>17</v>
      </c>
      <c r="I524" s="2" t="s">
        <v>40</v>
      </c>
      <c r="J524" s="1">
        <v>0.0</v>
      </c>
      <c r="K524" s="1">
        <v>0.0</v>
      </c>
      <c r="L524" s="2" t="s">
        <v>45</v>
      </c>
      <c r="N524" s="2">
        <v>1.0</v>
      </c>
      <c r="P524" s="8">
        <f t="shared" si="1"/>
        <v>36874</v>
      </c>
    </row>
    <row r="525" ht="15.75" customHeight="1">
      <c r="A525" s="2">
        <v>2001.0</v>
      </c>
      <c r="B525" s="2">
        <v>2000.0</v>
      </c>
      <c r="C525" s="2">
        <v>12.0</v>
      </c>
      <c r="D525" s="2">
        <v>9.0</v>
      </c>
      <c r="E525" s="2" t="s">
        <v>734</v>
      </c>
      <c r="H525" s="2" t="s">
        <v>17</v>
      </c>
      <c r="I525" s="2" t="s">
        <v>74</v>
      </c>
      <c r="J525" s="1">
        <v>0.0</v>
      </c>
      <c r="K525" s="1">
        <v>0.0</v>
      </c>
      <c r="L525" s="2" t="s">
        <v>24</v>
      </c>
      <c r="M525" s="2" t="s">
        <v>25</v>
      </c>
      <c r="N525" s="2">
        <v>1.0</v>
      </c>
      <c r="P525" s="8">
        <f t="shared" si="1"/>
        <v>36869</v>
      </c>
    </row>
    <row r="526" ht="15.75" customHeight="1">
      <c r="A526" s="2">
        <v>2001.0</v>
      </c>
      <c r="B526" s="2">
        <v>2000.0</v>
      </c>
      <c r="C526" s="2">
        <v>12.0</v>
      </c>
      <c r="D526" s="2">
        <v>9.0</v>
      </c>
      <c r="E526" s="2" t="s">
        <v>735</v>
      </c>
      <c r="H526" s="9" t="s">
        <v>17</v>
      </c>
      <c r="I526" s="2" t="s">
        <v>28</v>
      </c>
      <c r="J526" s="1">
        <v>0.0</v>
      </c>
      <c r="K526" s="1">
        <v>0.0</v>
      </c>
      <c r="L526" s="2" t="s">
        <v>45</v>
      </c>
      <c r="N526" s="2">
        <v>1.0</v>
      </c>
      <c r="P526" s="8">
        <f t="shared" si="1"/>
        <v>36869</v>
      </c>
    </row>
    <row r="527" ht="15.75" customHeight="1">
      <c r="A527" s="2">
        <v>2001.0</v>
      </c>
      <c r="B527" s="2">
        <v>2000.0</v>
      </c>
      <c r="C527" s="2">
        <v>12.0</v>
      </c>
      <c r="D527" s="2">
        <v>1.0</v>
      </c>
      <c r="E527" s="2" t="s">
        <v>736</v>
      </c>
      <c r="H527" s="2" t="s">
        <v>17</v>
      </c>
      <c r="I527" s="2" t="s">
        <v>74</v>
      </c>
      <c r="J527" s="1">
        <v>0.0</v>
      </c>
      <c r="K527" s="1">
        <v>0.0</v>
      </c>
      <c r="L527" s="2" t="s">
        <v>24</v>
      </c>
      <c r="M527" s="2" t="s">
        <v>60</v>
      </c>
      <c r="N527" s="2">
        <v>1.0</v>
      </c>
      <c r="P527" s="8">
        <f t="shared" si="1"/>
        <v>36861</v>
      </c>
    </row>
    <row r="528" ht="15.75" customHeight="1">
      <c r="A528" s="2">
        <v>2001.0</v>
      </c>
      <c r="B528" s="2">
        <v>2000.0</v>
      </c>
      <c r="C528" s="2">
        <v>11.0</v>
      </c>
      <c r="D528" s="2">
        <v>17.0</v>
      </c>
      <c r="E528" s="2" t="s">
        <v>737</v>
      </c>
      <c r="H528" s="2" t="s">
        <v>17</v>
      </c>
      <c r="I528" s="2" t="s">
        <v>74</v>
      </c>
      <c r="J528" s="1">
        <v>0.0</v>
      </c>
      <c r="K528" s="1">
        <v>0.0</v>
      </c>
      <c r="L528" s="2" t="s">
        <v>738</v>
      </c>
      <c r="N528" s="2">
        <v>1.0</v>
      </c>
      <c r="P528" s="8">
        <f t="shared" si="1"/>
        <v>36847</v>
      </c>
    </row>
    <row r="529" ht="15.75" customHeight="1">
      <c r="A529" s="2">
        <v>2000.0</v>
      </c>
      <c r="B529" s="2">
        <v>2000.0</v>
      </c>
      <c r="C529" s="2">
        <v>4.0</v>
      </c>
      <c r="D529" s="2">
        <v>21.0</v>
      </c>
      <c r="E529" s="2" t="s">
        <v>739</v>
      </c>
      <c r="H529" s="2" t="s">
        <v>196</v>
      </c>
      <c r="I529" s="2" t="s">
        <v>35</v>
      </c>
      <c r="J529" s="1">
        <v>39.639007489</v>
      </c>
      <c r="K529" s="1">
        <v>-105.864685</v>
      </c>
      <c r="L529" s="2" t="s">
        <v>51</v>
      </c>
      <c r="M529" s="2" t="s">
        <v>25</v>
      </c>
      <c r="N529" s="2">
        <v>1.0</v>
      </c>
      <c r="P529" s="8">
        <f t="shared" si="1"/>
        <v>36637</v>
      </c>
    </row>
    <row r="530" ht="15.75" customHeight="1">
      <c r="A530" s="2">
        <v>2000.0</v>
      </c>
      <c r="B530" s="2">
        <v>2000.0</v>
      </c>
      <c r="C530" s="2">
        <v>4.0</v>
      </c>
      <c r="D530" s="2">
        <v>9.0</v>
      </c>
      <c r="E530" s="2" t="s">
        <v>740</v>
      </c>
      <c r="H530" s="2" t="s">
        <v>17</v>
      </c>
      <c r="I530" s="2" t="s">
        <v>28</v>
      </c>
      <c r="J530" s="1">
        <v>0.0</v>
      </c>
      <c r="K530" s="1">
        <v>0.0</v>
      </c>
      <c r="L530" s="2" t="s">
        <v>45</v>
      </c>
      <c r="N530" s="2">
        <v>1.0</v>
      </c>
      <c r="P530" s="8">
        <f t="shared" si="1"/>
        <v>36625</v>
      </c>
    </row>
    <row r="531" ht="15.75" customHeight="1">
      <c r="A531" s="2">
        <v>2000.0</v>
      </c>
      <c r="B531" s="2">
        <v>2000.0</v>
      </c>
      <c r="C531" s="2">
        <v>4.0</v>
      </c>
      <c r="D531" s="2">
        <v>8.0</v>
      </c>
      <c r="E531" s="2" t="s">
        <v>741</v>
      </c>
      <c r="H531" s="2" t="s">
        <v>17</v>
      </c>
      <c r="I531" s="2" t="s">
        <v>28</v>
      </c>
      <c r="J531" s="1">
        <v>0.0</v>
      </c>
      <c r="K531" s="1">
        <v>0.0</v>
      </c>
      <c r="L531" s="2" t="s">
        <v>24</v>
      </c>
      <c r="M531" s="2" t="s">
        <v>25</v>
      </c>
      <c r="N531" s="2">
        <v>1.0</v>
      </c>
      <c r="P531" s="8">
        <f t="shared" si="1"/>
        <v>36624</v>
      </c>
    </row>
    <row r="532" ht="15.75" customHeight="1">
      <c r="A532" s="2">
        <v>2000.0</v>
      </c>
      <c r="B532" s="2">
        <v>2000.0</v>
      </c>
      <c r="C532" s="2">
        <v>3.0</v>
      </c>
      <c r="D532" s="2">
        <v>22.0</v>
      </c>
      <c r="E532" s="2" t="s">
        <v>742</v>
      </c>
      <c r="H532" s="2" t="s">
        <v>17</v>
      </c>
      <c r="I532" s="2" t="s">
        <v>85</v>
      </c>
      <c r="J532" s="1">
        <v>0.0</v>
      </c>
      <c r="K532" s="1">
        <v>0.0</v>
      </c>
      <c r="L532" s="2" t="s">
        <v>45</v>
      </c>
      <c r="N532" s="2">
        <v>1.0</v>
      </c>
      <c r="P532" s="8">
        <f t="shared" si="1"/>
        <v>36607</v>
      </c>
    </row>
    <row r="533" ht="15.75" customHeight="1">
      <c r="A533" s="2">
        <v>2000.0</v>
      </c>
      <c r="B533" s="2">
        <v>2000.0</v>
      </c>
      <c r="C533" s="2">
        <v>3.0</v>
      </c>
      <c r="D533" s="2">
        <v>19.0</v>
      </c>
      <c r="E533" s="2" t="s">
        <v>743</v>
      </c>
      <c r="H533" s="2" t="s">
        <v>17</v>
      </c>
      <c r="I533" s="2" t="s">
        <v>49</v>
      </c>
      <c r="J533" s="1">
        <v>0.0</v>
      </c>
      <c r="K533" s="1">
        <v>0.0</v>
      </c>
      <c r="L533" s="2" t="s">
        <v>45</v>
      </c>
      <c r="N533" s="2">
        <v>1.0</v>
      </c>
      <c r="P533" s="8">
        <f t="shared" si="1"/>
        <v>36604</v>
      </c>
    </row>
    <row r="534" ht="15.75" customHeight="1">
      <c r="A534" s="2">
        <v>2000.0</v>
      </c>
      <c r="B534" s="2">
        <v>2000.0</v>
      </c>
      <c r="C534" s="2">
        <v>3.0</v>
      </c>
      <c r="D534" s="2">
        <v>17.0</v>
      </c>
      <c r="E534" s="2" t="s">
        <v>702</v>
      </c>
      <c r="H534" s="2" t="s">
        <v>196</v>
      </c>
      <c r="I534" s="2" t="s">
        <v>35</v>
      </c>
      <c r="J534" s="1">
        <v>39.130912374</v>
      </c>
      <c r="K534" s="1">
        <v>-106.888649</v>
      </c>
      <c r="L534" s="2" t="s">
        <v>24</v>
      </c>
      <c r="M534" s="2" t="s">
        <v>25</v>
      </c>
      <c r="N534" s="2">
        <v>2.0</v>
      </c>
      <c r="P534" s="8">
        <f t="shared" si="1"/>
        <v>36602</v>
      </c>
    </row>
    <row r="535" ht="15.75" customHeight="1">
      <c r="A535" s="2">
        <v>2000.0</v>
      </c>
      <c r="B535" s="2">
        <v>2000.0</v>
      </c>
      <c r="C535" s="2">
        <v>2.0</v>
      </c>
      <c r="D535" s="2">
        <v>20.0</v>
      </c>
      <c r="E535" s="2" t="s">
        <v>744</v>
      </c>
      <c r="H535" s="2" t="s">
        <v>17</v>
      </c>
      <c r="I535" s="2" t="s">
        <v>166</v>
      </c>
      <c r="J535" s="1">
        <v>0.0</v>
      </c>
      <c r="K535" s="1">
        <v>0.0</v>
      </c>
      <c r="L535" s="2" t="s">
        <v>24</v>
      </c>
      <c r="M535" s="2" t="s">
        <v>25</v>
      </c>
      <c r="N535" s="2">
        <v>1.0</v>
      </c>
      <c r="P535" s="8">
        <f t="shared" si="1"/>
        <v>36576</v>
      </c>
    </row>
    <row r="536" ht="15.75" customHeight="1">
      <c r="A536" s="2">
        <v>2000.0</v>
      </c>
      <c r="B536" s="2">
        <v>2000.0</v>
      </c>
      <c r="C536" s="2">
        <v>2.0</v>
      </c>
      <c r="D536" s="2">
        <v>19.0</v>
      </c>
      <c r="E536" s="2" t="s">
        <v>745</v>
      </c>
      <c r="H536" s="2" t="s">
        <v>17</v>
      </c>
      <c r="I536" s="2" t="s">
        <v>746</v>
      </c>
      <c r="J536" s="1">
        <v>0.0</v>
      </c>
      <c r="K536" s="1">
        <v>0.0</v>
      </c>
      <c r="L536" s="2" t="s">
        <v>24</v>
      </c>
      <c r="M536" s="2" t="s">
        <v>25</v>
      </c>
      <c r="N536" s="2">
        <v>1.0</v>
      </c>
      <c r="P536" s="8">
        <f t="shared" si="1"/>
        <v>36575</v>
      </c>
    </row>
    <row r="537" ht="15.75" customHeight="1">
      <c r="A537" s="2">
        <v>2000.0</v>
      </c>
      <c r="B537" s="2">
        <v>2000.0</v>
      </c>
      <c r="C537" s="2">
        <v>2.0</v>
      </c>
      <c r="D537" s="2">
        <v>19.0</v>
      </c>
      <c r="E537" s="2" t="s">
        <v>747</v>
      </c>
      <c r="H537" s="2" t="s">
        <v>17</v>
      </c>
      <c r="I537" s="2" t="s">
        <v>49</v>
      </c>
      <c r="J537" s="1">
        <v>0.0</v>
      </c>
      <c r="K537" s="1">
        <v>0.0</v>
      </c>
      <c r="L537" s="2" t="s">
        <v>45</v>
      </c>
      <c r="N537" s="2">
        <v>1.0</v>
      </c>
      <c r="P537" s="8">
        <f t="shared" si="1"/>
        <v>36575</v>
      </c>
    </row>
    <row r="538" ht="15.75" customHeight="1">
      <c r="A538" s="2">
        <v>2000.0</v>
      </c>
      <c r="B538" s="2">
        <v>2000.0</v>
      </c>
      <c r="C538" s="2">
        <v>2.0</v>
      </c>
      <c r="D538" s="2">
        <v>1.0</v>
      </c>
      <c r="E538" s="2" t="s">
        <v>748</v>
      </c>
      <c r="H538" s="2" t="s">
        <v>749</v>
      </c>
      <c r="I538" s="2" t="s">
        <v>28</v>
      </c>
      <c r="J538" s="1">
        <v>0.0</v>
      </c>
      <c r="K538" s="1">
        <v>0.0</v>
      </c>
      <c r="L538" s="2" t="s">
        <v>421</v>
      </c>
      <c r="N538" s="2">
        <v>1.0</v>
      </c>
      <c r="P538" s="8">
        <f t="shared" si="1"/>
        <v>36557</v>
      </c>
    </row>
    <row r="539" ht="15.75" customHeight="1">
      <c r="A539" s="2">
        <v>2000.0</v>
      </c>
      <c r="B539" s="2">
        <v>2000.0</v>
      </c>
      <c r="C539" s="2">
        <v>1.0</v>
      </c>
      <c r="D539" s="2">
        <v>26.0</v>
      </c>
      <c r="E539" s="2" t="s">
        <v>709</v>
      </c>
      <c r="H539" s="2" t="s">
        <v>39</v>
      </c>
      <c r="I539" s="2" t="s">
        <v>28</v>
      </c>
      <c r="J539" s="1">
        <v>0.0</v>
      </c>
      <c r="K539" s="1">
        <v>0.0</v>
      </c>
      <c r="L539" s="2" t="s">
        <v>41</v>
      </c>
      <c r="M539" s="2" t="s">
        <v>20</v>
      </c>
      <c r="N539" s="2">
        <v>1.0</v>
      </c>
      <c r="P539" s="8">
        <f t="shared" si="1"/>
        <v>36551</v>
      </c>
    </row>
    <row r="540" ht="15.75" customHeight="1">
      <c r="A540" s="2">
        <v>2000.0</v>
      </c>
      <c r="B540" s="2">
        <v>2000.0</v>
      </c>
      <c r="C540" s="2">
        <v>1.0</v>
      </c>
      <c r="D540" s="2">
        <v>25.0</v>
      </c>
      <c r="E540" s="2" t="s">
        <v>750</v>
      </c>
      <c r="H540" s="2" t="s">
        <v>17</v>
      </c>
      <c r="I540" s="2" t="s">
        <v>35</v>
      </c>
      <c r="J540" s="1" t="e">
        <v>#REF!</v>
      </c>
      <c r="K540" s="1" t="e">
        <v>#REF!</v>
      </c>
      <c r="L540" s="2" t="s">
        <v>24</v>
      </c>
      <c r="M540" s="2" t="s">
        <v>25</v>
      </c>
      <c r="N540" s="2">
        <v>1.0</v>
      </c>
      <c r="P540" s="8">
        <f t="shared" si="1"/>
        <v>36550</v>
      </c>
    </row>
    <row r="541" ht="15.75" customHeight="1">
      <c r="A541" s="2">
        <v>2000.0</v>
      </c>
      <c r="B541" s="2">
        <v>2000.0</v>
      </c>
      <c r="C541" s="2">
        <v>1.0</v>
      </c>
      <c r="D541" s="2">
        <v>25.0</v>
      </c>
      <c r="E541" s="2" t="s">
        <v>751</v>
      </c>
      <c r="H541" s="2" t="s">
        <v>196</v>
      </c>
      <c r="I541" s="2" t="s">
        <v>35</v>
      </c>
      <c r="J541" s="1" t="e">
        <v>#REF!</v>
      </c>
      <c r="K541" s="1" t="e">
        <v>#REF!</v>
      </c>
      <c r="L541" s="2" t="s">
        <v>197</v>
      </c>
      <c r="M541" s="2" t="s">
        <v>60</v>
      </c>
      <c r="N541" s="2">
        <v>1.0</v>
      </c>
      <c r="P541" s="8">
        <f t="shared" si="1"/>
        <v>36550</v>
      </c>
    </row>
    <row r="542" ht="15.75" customHeight="1">
      <c r="A542" s="2">
        <v>2000.0</v>
      </c>
      <c r="B542" s="2">
        <v>2000.0</v>
      </c>
      <c r="C542" s="2">
        <v>1.0</v>
      </c>
      <c r="D542" s="2">
        <v>23.0</v>
      </c>
      <c r="E542" s="2" t="s">
        <v>752</v>
      </c>
      <c r="H542" s="2" t="s">
        <v>17</v>
      </c>
      <c r="I542" s="2" t="s">
        <v>35</v>
      </c>
      <c r="J542" s="1">
        <v>39.774241429</v>
      </c>
      <c r="K542" s="1">
        <v>-105.889061</v>
      </c>
      <c r="L542" s="2" t="s">
        <v>19</v>
      </c>
      <c r="M542" s="2" t="s">
        <v>103</v>
      </c>
      <c r="N542" s="2">
        <v>1.0</v>
      </c>
      <c r="P542" s="8">
        <f t="shared" si="1"/>
        <v>36548</v>
      </c>
    </row>
    <row r="543" ht="15.75" customHeight="1">
      <c r="A543" s="2">
        <v>2000.0</v>
      </c>
      <c r="B543" s="2">
        <v>2000.0</v>
      </c>
      <c r="C543" s="2">
        <v>1.0</v>
      </c>
      <c r="D543" s="2">
        <v>16.0</v>
      </c>
      <c r="E543" s="2" t="s">
        <v>753</v>
      </c>
      <c r="H543" s="2" t="s">
        <v>196</v>
      </c>
      <c r="I543" s="2" t="s">
        <v>77</v>
      </c>
      <c r="J543" s="1">
        <v>0.0</v>
      </c>
      <c r="K543" s="1">
        <v>0.0</v>
      </c>
      <c r="L543" s="2" t="s">
        <v>51</v>
      </c>
      <c r="M543" s="2" t="s">
        <v>25</v>
      </c>
      <c r="N543" s="2">
        <v>1.0</v>
      </c>
      <c r="P543" s="8">
        <f t="shared" si="1"/>
        <v>36541</v>
      </c>
    </row>
    <row r="544" ht="15.75" customHeight="1">
      <c r="A544" s="2">
        <v>2000.0</v>
      </c>
      <c r="B544" s="2">
        <v>2000.0</v>
      </c>
      <c r="C544" s="2">
        <v>1.0</v>
      </c>
      <c r="D544" s="2">
        <v>11.0</v>
      </c>
      <c r="E544" s="2" t="s">
        <v>754</v>
      </c>
      <c r="H544" s="2" t="s">
        <v>196</v>
      </c>
      <c r="I544" s="2" t="s">
        <v>40</v>
      </c>
      <c r="J544" s="1">
        <v>0.0</v>
      </c>
      <c r="K544" s="1">
        <v>0.0</v>
      </c>
      <c r="L544" s="2" t="s">
        <v>51</v>
      </c>
      <c r="M544" s="2" t="s">
        <v>25</v>
      </c>
      <c r="N544" s="2">
        <v>2.0</v>
      </c>
      <c r="P544" s="8">
        <f t="shared" si="1"/>
        <v>36536</v>
      </c>
    </row>
    <row r="545" ht="15.75" customHeight="1">
      <c r="A545" s="2">
        <v>2000.0</v>
      </c>
      <c r="B545" s="2">
        <v>1999.0</v>
      </c>
      <c r="C545" s="2">
        <v>12.0</v>
      </c>
      <c r="D545" s="2">
        <v>26.0</v>
      </c>
      <c r="E545" s="2" t="s">
        <v>674</v>
      </c>
      <c r="H545" s="2" t="s">
        <v>17</v>
      </c>
      <c r="I545" s="2" t="s">
        <v>28</v>
      </c>
      <c r="J545" s="1">
        <v>0.0</v>
      </c>
      <c r="K545" s="1">
        <v>0.0</v>
      </c>
      <c r="L545" s="2" t="s">
        <v>45</v>
      </c>
      <c r="N545" s="2">
        <v>1.0</v>
      </c>
      <c r="P545" s="8">
        <f t="shared" si="1"/>
        <v>36520</v>
      </c>
    </row>
    <row r="546" ht="15.75" customHeight="1">
      <c r="A546" s="2">
        <v>2000.0</v>
      </c>
      <c r="B546" s="2">
        <v>1999.0</v>
      </c>
      <c r="C546" s="2">
        <v>12.0</v>
      </c>
      <c r="D546" s="2">
        <v>21.0</v>
      </c>
      <c r="E546" s="2" t="s">
        <v>755</v>
      </c>
      <c r="H546" s="2" t="s">
        <v>17</v>
      </c>
      <c r="I546" s="2" t="s">
        <v>35</v>
      </c>
      <c r="J546" s="1">
        <v>39.389971675</v>
      </c>
      <c r="K546" s="1">
        <v>-106.097374</v>
      </c>
      <c r="L546" s="2" t="s">
        <v>24</v>
      </c>
      <c r="M546" s="2" t="s">
        <v>25</v>
      </c>
      <c r="N546" s="2">
        <v>1.0</v>
      </c>
      <c r="P546" s="8">
        <f t="shared" si="1"/>
        <v>36515</v>
      </c>
    </row>
    <row r="547" ht="15.75" customHeight="1">
      <c r="A547" s="2">
        <v>2000.0</v>
      </c>
      <c r="B547" s="2">
        <v>1999.0</v>
      </c>
      <c r="C547" s="2">
        <v>12.0</v>
      </c>
      <c r="D547" s="2">
        <v>14.0</v>
      </c>
      <c r="E547" s="2" t="s">
        <v>756</v>
      </c>
      <c r="H547" s="2" t="s">
        <v>17</v>
      </c>
      <c r="I547" s="2" t="s">
        <v>35</v>
      </c>
      <c r="J547" s="1">
        <v>40.513930407</v>
      </c>
      <c r="K547" s="1">
        <v>-105.897987</v>
      </c>
      <c r="L547" s="2" t="s">
        <v>24</v>
      </c>
      <c r="M547" s="2" t="s">
        <v>25</v>
      </c>
      <c r="N547" s="2">
        <v>1.0</v>
      </c>
      <c r="P547" s="8">
        <f t="shared" si="1"/>
        <v>36508</v>
      </c>
    </row>
    <row r="548" ht="15.75" customHeight="1">
      <c r="A548" s="2">
        <v>2000.0</v>
      </c>
      <c r="B548" s="2">
        <v>1999.0</v>
      </c>
      <c r="C548" s="2">
        <v>11.0</v>
      </c>
      <c r="D548" s="2">
        <v>26.0</v>
      </c>
      <c r="E548" s="2" t="s">
        <v>757</v>
      </c>
      <c r="H548" s="2" t="s">
        <v>196</v>
      </c>
      <c r="I548" s="2" t="s">
        <v>85</v>
      </c>
      <c r="J548" s="1">
        <v>0.0</v>
      </c>
      <c r="K548" s="1">
        <v>0.0</v>
      </c>
      <c r="L548" s="2" t="s">
        <v>51</v>
      </c>
      <c r="M548" s="2" t="s">
        <v>25</v>
      </c>
      <c r="N548" s="2">
        <v>1.0</v>
      </c>
      <c r="P548" s="8">
        <f t="shared" si="1"/>
        <v>36490</v>
      </c>
    </row>
    <row r="549" ht="15.75" customHeight="1">
      <c r="A549" s="2">
        <v>1999.0</v>
      </c>
      <c r="B549" s="2">
        <v>1999.0</v>
      </c>
      <c r="C549" s="2">
        <v>5.0</v>
      </c>
      <c r="D549" s="2">
        <v>24.0</v>
      </c>
      <c r="E549" s="2" t="s">
        <v>758</v>
      </c>
      <c r="H549" s="2" t="s">
        <v>39</v>
      </c>
      <c r="I549" s="2" t="s">
        <v>28</v>
      </c>
      <c r="J549" s="1">
        <v>0.0</v>
      </c>
      <c r="K549" s="1">
        <v>0.0</v>
      </c>
      <c r="L549" s="2" t="s">
        <v>19</v>
      </c>
      <c r="N549" s="2">
        <v>1.0</v>
      </c>
      <c r="P549" s="8">
        <f t="shared" si="1"/>
        <v>36304</v>
      </c>
    </row>
    <row r="550" ht="15.75" customHeight="1">
      <c r="A550" s="2">
        <v>1999.0</v>
      </c>
      <c r="B550" s="2">
        <v>1999.0</v>
      </c>
      <c r="C550" s="2">
        <v>4.0</v>
      </c>
      <c r="D550" s="2">
        <v>29.0</v>
      </c>
      <c r="E550" s="2" t="s">
        <v>759</v>
      </c>
      <c r="H550" s="9" t="s">
        <v>17</v>
      </c>
      <c r="I550" s="2" t="s">
        <v>28</v>
      </c>
      <c r="J550" s="1">
        <v>0.0</v>
      </c>
      <c r="K550" s="1">
        <v>0.0</v>
      </c>
      <c r="L550" s="2" t="s">
        <v>29</v>
      </c>
      <c r="N550" s="2">
        <v>1.0</v>
      </c>
      <c r="P550" s="8">
        <f t="shared" si="1"/>
        <v>36279</v>
      </c>
    </row>
    <row r="551" ht="15.75" customHeight="1">
      <c r="A551" s="2">
        <v>1999.0</v>
      </c>
      <c r="B551" s="2">
        <v>1999.0</v>
      </c>
      <c r="C551" s="2">
        <v>4.0</v>
      </c>
      <c r="D551" s="2">
        <v>27.0</v>
      </c>
      <c r="E551" s="2" t="s">
        <v>760</v>
      </c>
      <c r="H551" s="2" t="s">
        <v>17</v>
      </c>
      <c r="I551" s="2" t="s">
        <v>28</v>
      </c>
      <c r="J551" s="1">
        <v>0.0</v>
      </c>
      <c r="K551" s="1">
        <v>0.0</v>
      </c>
      <c r="L551" s="2" t="s">
        <v>24</v>
      </c>
      <c r="M551" s="2" t="s">
        <v>60</v>
      </c>
      <c r="N551" s="2">
        <v>1.0</v>
      </c>
      <c r="P551" s="8">
        <f t="shared" si="1"/>
        <v>36277</v>
      </c>
    </row>
    <row r="552" ht="15.75" customHeight="1">
      <c r="A552" s="2">
        <v>1999.0</v>
      </c>
      <c r="B552" s="2">
        <v>1999.0</v>
      </c>
      <c r="C552" s="2">
        <v>4.0</v>
      </c>
      <c r="D552" s="2">
        <v>16.0</v>
      </c>
      <c r="E552" s="2" t="s">
        <v>761</v>
      </c>
      <c r="H552" s="2" t="s">
        <v>17</v>
      </c>
      <c r="I552" s="2" t="s">
        <v>28</v>
      </c>
      <c r="J552" s="1">
        <v>0.0</v>
      </c>
      <c r="K552" s="1">
        <v>0.0</v>
      </c>
      <c r="L552" s="2" t="s">
        <v>45</v>
      </c>
      <c r="N552" s="2">
        <v>1.0</v>
      </c>
      <c r="P552" s="8">
        <f t="shared" si="1"/>
        <v>36266</v>
      </c>
    </row>
    <row r="553" ht="15.75" customHeight="1">
      <c r="A553" s="2">
        <v>1999.0</v>
      </c>
      <c r="B553" s="2">
        <v>1999.0</v>
      </c>
      <c r="C553" s="2">
        <v>4.0</v>
      </c>
      <c r="D553" s="2">
        <v>15.0</v>
      </c>
      <c r="E553" s="2" t="s">
        <v>709</v>
      </c>
      <c r="H553" s="2" t="s">
        <v>749</v>
      </c>
      <c r="I553" s="2" t="s">
        <v>28</v>
      </c>
      <c r="J553" s="1">
        <v>0.0</v>
      </c>
      <c r="K553" s="1">
        <v>0.0</v>
      </c>
      <c r="L553" s="2" t="s">
        <v>652</v>
      </c>
      <c r="N553" s="2">
        <v>1.0</v>
      </c>
      <c r="P553" s="8">
        <f t="shared" si="1"/>
        <v>36265</v>
      </c>
    </row>
    <row r="554" ht="15.75" customHeight="1">
      <c r="A554" s="2">
        <v>1999.0</v>
      </c>
      <c r="B554" s="2">
        <v>1999.0</v>
      </c>
      <c r="C554" s="2">
        <v>4.0</v>
      </c>
      <c r="D554" s="2">
        <v>7.0</v>
      </c>
      <c r="E554" s="2" t="s">
        <v>762</v>
      </c>
      <c r="H554" s="2" t="s">
        <v>17</v>
      </c>
      <c r="I554" s="2" t="s">
        <v>35</v>
      </c>
      <c r="J554" s="1">
        <v>0.0</v>
      </c>
      <c r="K554" s="1">
        <v>0.0</v>
      </c>
      <c r="L554" s="2" t="s">
        <v>24</v>
      </c>
      <c r="M554" s="2" t="s">
        <v>25</v>
      </c>
      <c r="N554" s="2">
        <v>1.0</v>
      </c>
      <c r="P554" s="8">
        <f t="shared" si="1"/>
        <v>36257</v>
      </c>
    </row>
    <row r="555" ht="15.75" customHeight="1">
      <c r="A555" s="2">
        <v>1999.0</v>
      </c>
      <c r="B555" s="2">
        <v>1999.0</v>
      </c>
      <c r="C555" s="2">
        <v>4.0</v>
      </c>
      <c r="D555" s="2">
        <v>3.0</v>
      </c>
      <c r="E555" s="2" t="s">
        <v>763</v>
      </c>
      <c r="H555" s="2" t="s">
        <v>17</v>
      </c>
      <c r="I555" s="2" t="s">
        <v>28</v>
      </c>
      <c r="J555" s="1">
        <v>0.0</v>
      </c>
      <c r="K555" s="1">
        <v>0.0</v>
      </c>
      <c r="L555" s="2" t="s">
        <v>45</v>
      </c>
      <c r="N555" s="2">
        <v>1.0</v>
      </c>
      <c r="P555" s="8">
        <f t="shared" si="1"/>
        <v>36253</v>
      </c>
    </row>
    <row r="556" ht="15.75" customHeight="1">
      <c r="A556" s="2">
        <v>1999.0</v>
      </c>
      <c r="B556" s="2">
        <v>1999.0</v>
      </c>
      <c r="C556" s="2">
        <v>3.0</v>
      </c>
      <c r="D556" s="2">
        <v>21.0</v>
      </c>
      <c r="E556" s="2" t="s">
        <v>764</v>
      </c>
      <c r="H556" s="2" t="s">
        <v>17</v>
      </c>
      <c r="I556" s="2" t="s">
        <v>28</v>
      </c>
      <c r="J556" s="1">
        <v>0.0</v>
      </c>
      <c r="K556" s="1">
        <v>0.0</v>
      </c>
      <c r="L556" s="2" t="s">
        <v>45</v>
      </c>
      <c r="N556" s="2">
        <v>6.0</v>
      </c>
      <c r="P556" s="8">
        <f t="shared" si="1"/>
        <v>36240</v>
      </c>
    </row>
    <row r="557" ht="15.75" customHeight="1">
      <c r="A557" s="2">
        <v>1999.0</v>
      </c>
      <c r="B557" s="2">
        <v>1999.0</v>
      </c>
      <c r="C557" s="2">
        <v>2.0</v>
      </c>
      <c r="D557" s="2">
        <v>14.0</v>
      </c>
      <c r="E557" s="2" t="s">
        <v>712</v>
      </c>
      <c r="H557" s="2" t="s">
        <v>196</v>
      </c>
      <c r="I557" s="2" t="s">
        <v>77</v>
      </c>
      <c r="J557" s="1">
        <v>0.0</v>
      </c>
      <c r="K557" s="1">
        <v>0.0</v>
      </c>
      <c r="L557" s="2" t="s">
        <v>51</v>
      </c>
      <c r="M557" s="2" t="s">
        <v>25</v>
      </c>
      <c r="N557" s="2">
        <v>1.0</v>
      </c>
      <c r="P557" s="8">
        <f t="shared" si="1"/>
        <v>36205</v>
      </c>
    </row>
    <row r="558" ht="15.75" customHeight="1">
      <c r="A558" s="2">
        <v>1999.0</v>
      </c>
      <c r="B558" s="2">
        <v>1999.0</v>
      </c>
      <c r="C558" s="2">
        <v>2.0</v>
      </c>
      <c r="D558" s="2">
        <v>6.0</v>
      </c>
      <c r="E558" s="2" t="s">
        <v>765</v>
      </c>
      <c r="H558" s="2" t="s">
        <v>17</v>
      </c>
      <c r="I558" s="2" t="s">
        <v>35</v>
      </c>
      <c r="J558" s="1">
        <v>0.0</v>
      </c>
      <c r="K558" s="1">
        <v>0.0</v>
      </c>
      <c r="L558" s="2" t="s">
        <v>24</v>
      </c>
      <c r="M558" s="2" t="s">
        <v>25</v>
      </c>
      <c r="N558" s="2">
        <v>2.0</v>
      </c>
      <c r="P558" s="8">
        <f t="shared" si="1"/>
        <v>36197</v>
      </c>
    </row>
    <row r="559" ht="15.75" customHeight="1">
      <c r="A559" s="2">
        <v>1999.0</v>
      </c>
      <c r="B559" s="2">
        <v>1999.0</v>
      </c>
      <c r="C559" s="2">
        <v>2.0</v>
      </c>
      <c r="D559" s="2">
        <v>6.0</v>
      </c>
      <c r="E559" s="2" t="s">
        <v>766</v>
      </c>
      <c r="H559" s="2" t="s">
        <v>17</v>
      </c>
      <c r="I559" s="2" t="s">
        <v>40</v>
      </c>
      <c r="J559" s="1">
        <v>0.0</v>
      </c>
      <c r="K559" s="1">
        <v>0.0</v>
      </c>
      <c r="L559" s="2" t="s">
        <v>19</v>
      </c>
      <c r="M559" s="2" t="s">
        <v>103</v>
      </c>
      <c r="N559" s="2">
        <v>1.0</v>
      </c>
      <c r="P559" s="8">
        <f t="shared" si="1"/>
        <v>36197</v>
      </c>
    </row>
    <row r="560" ht="15.75" customHeight="1">
      <c r="A560" s="2">
        <v>1999.0</v>
      </c>
      <c r="B560" s="2">
        <v>1999.0</v>
      </c>
      <c r="C560" s="2">
        <v>2.0</v>
      </c>
      <c r="D560" s="2">
        <v>6.0</v>
      </c>
      <c r="E560" s="2" t="s">
        <v>765</v>
      </c>
      <c r="H560" s="2" t="s">
        <v>17</v>
      </c>
      <c r="I560" s="2" t="s">
        <v>35</v>
      </c>
      <c r="J560" s="1">
        <v>0.0</v>
      </c>
      <c r="K560" s="1">
        <v>0.0</v>
      </c>
      <c r="L560" s="2" t="s">
        <v>45</v>
      </c>
      <c r="N560" s="2">
        <v>1.0</v>
      </c>
      <c r="P560" s="8">
        <f t="shared" si="1"/>
        <v>36197</v>
      </c>
    </row>
    <row r="561" ht="15.75" customHeight="1">
      <c r="A561" s="2">
        <v>1999.0</v>
      </c>
      <c r="B561" s="2">
        <v>1999.0</v>
      </c>
      <c r="C561" s="2">
        <v>2.0</v>
      </c>
      <c r="D561" s="2">
        <v>6.0</v>
      </c>
      <c r="E561" s="2" t="s">
        <v>654</v>
      </c>
      <c r="H561" s="2" t="s">
        <v>17</v>
      </c>
      <c r="I561" s="2" t="s">
        <v>18</v>
      </c>
      <c r="J561" s="1">
        <v>0.0</v>
      </c>
      <c r="K561" s="1">
        <v>0.0</v>
      </c>
      <c r="L561" s="2" t="s">
        <v>402</v>
      </c>
      <c r="N561" s="2">
        <v>1.0</v>
      </c>
      <c r="P561" s="8">
        <f t="shared" si="1"/>
        <v>36197</v>
      </c>
    </row>
    <row r="562" ht="15.75" customHeight="1">
      <c r="A562" s="2">
        <v>1999.0</v>
      </c>
      <c r="B562" s="2">
        <v>1999.0</v>
      </c>
      <c r="C562" s="2">
        <v>1.0</v>
      </c>
      <c r="D562" s="2">
        <v>30.0</v>
      </c>
      <c r="E562" s="2" t="s">
        <v>767</v>
      </c>
      <c r="H562" s="2" t="s">
        <v>17</v>
      </c>
      <c r="I562" s="2" t="s">
        <v>35</v>
      </c>
      <c r="J562" s="1">
        <v>0.0</v>
      </c>
      <c r="K562" s="1">
        <v>0.0</v>
      </c>
      <c r="L562" s="2" t="s">
        <v>45</v>
      </c>
      <c r="N562" s="2">
        <v>1.0</v>
      </c>
      <c r="P562" s="8">
        <f t="shared" si="1"/>
        <v>36190</v>
      </c>
    </row>
    <row r="563" ht="15.75" customHeight="1">
      <c r="A563" s="2">
        <v>1999.0</v>
      </c>
      <c r="B563" s="2">
        <v>1999.0</v>
      </c>
      <c r="C563" s="2">
        <v>1.0</v>
      </c>
      <c r="D563" s="2">
        <v>29.0</v>
      </c>
      <c r="E563" s="2" t="s">
        <v>768</v>
      </c>
      <c r="H563" s="2" t="s">
        <v>17</v>
      </c>
      <c r="I563" s="2" t="s">
        <v>59</v>
      </c>
      <c r="J563" s="1">
        <v>0.0</v>
      </c>
      <c r="K563" s="1">
        <v>0.0</v>
      </c>
      <c r="L563" s="2" t="s">
        <v>24</v>
      </c>
      <c r="M563" s="2" t="s">
        <v>60</v>
      </c>
      <c r="N563" s="2">
        <v>1.0</v>
      </c>
      <c r="P563" s="8">
        <f t="shared" si="1"/>
        <v>36189</v>
      </c>
    </row>
    <row r="564" ht="15.75" customHeight="1">
      <c r="A564" s="2">
        <v>1999.0</v>
      </c>
      <c r="B564" s="2">
        <v>1999.0</v>
      </c>
      <c r="C564" s="2">
        <v>1.0</v>
      </c>
      <c r="D564" s="2">
        <v>29.0</v>
      </c>
      <c r="E564" s="2" t="s">
        <v>769</v>
      </c>
      <c r="H564" s="2" t="s">
        <v>17</v>
      </c>
      <c r="I564" s="2" t="s">
        <v>40</v>
      </c>
      <c r="J564" s="1">
        <v>0.0</v>
      </c>
      <c r="K564" s="1">
        <v>0.0</v>
      </c>
      <c r="L564" s="2" t="s">
        <v>45</v>
      </c>
      <c r="N564" s="2">
        <v>1.0</v>
      </c>
      <c r="P564" s="8">
        <f t="shared" si="1"/>
        <v>36189</v>
      </c>
    </row>
    <row r="565" ht="15.75" customHeight="1">
      <c r="A565" s="2">
        <v>1999.0</v>
      </c>
      <c r="B565" s="2">
        <v>1999.0</v>
      </c>
      <c r="C565" s="2">
        <v>1.0</v>
      </c>
      <c r="D565" s="2">
        <v>22.0</v>
      </c>
      <c r="E565" s="2" t="s">
        <v>702</v>
      </c>
      <c r="H565" s="2" t="s">
        <v>196</v>
      </c>
      <c r="I565" s="2" t="s">
        <v>35</v>
      </c>
      <c r="J565" s="1">
        <v>0.0</v>
      </c>
      <c r="K565" s="1">
        <v>0.0</v>
      </c>
      <c r="L565" s="2" t="s">
        <v>51</v>
      </c>
      <c r="M565" s="2" t="s">
        <v>25</v>
      </c>
      <c r="N565" s="2">
        <v>1.0</v>
      </c>
      <c r="P565" s="8">
        <f t="shared" si="1"/>
        <v>36182</v>
      </c>
    </row>
    <row r="566" ht="15.75" customHeight="1">
      <c r="A566" s="2">
        <v>1999.0</v>
      </c>
      <c r="B566" s="2">
        <v>1999.0</v>
      </c>
      <c r="C566" s="2">
        <v>1.0</v>
      </c>
      <c r="D566" s="2">
        <v>19.0</v>
      </c>
      <c r="E566" s="2" t="s">
        <v>770</v>
      </c>
      <c r="H566" s="2" t="s">
        <v>196</v>
      </c>
      <c r="I566" s="2" t="s">
        <v>74</v>
      </c>
      <c r="J566" s="1">
        <v>0.0</v>
      </c>
      <c r="K566" s="1">
        <v>0.0</v>
      </c>
      <c r="L566" s="2" t="s">
        <v>197</v>
      </c>
      <c r="M566" s="2" t="s">
        <v>60</v>
      </c>
      <c r="N566" s="2">
        <v>1.0</v>
      </c>
      <c r="P566" s="8">
        <f t="shared" si="1"/>
        <v>36179</v>
      </c>
    </row>
    <row r="567" ht="15.75" customHeight="1">
      <c r="A567" s="2">
        <v>1999.0</v>
      </c>
      <c r="B567" s="2">
        <v>1999.0</v>
      </c>
      <c r="C567" s="2">
        <v>1.0</v>
      </c>
      <c r="D567" s="2">
        <v>18.0</v>
      </c>
      <c r="E567" s="2" t="s">
        <v>712</v>
      </c>
      <c r="H567" s="2" t="s">
        <v>196</v>
      </c>
      <c r="I567" s="2" t="s">
        <v>77</v>
      </c>
      <c r="J567" s="1">
        <v>0.0</v>
      </c>
      <c r="K567" s="1">
        <v>0.0</v>
      </c>
      <c r="L567" s="2" t="s">
        <v>51</v>
      </c>
      <c r="M567" s="2" t="s">
        <v>25</v>
      </c>
      <c r="N567" s="2">
        <v>1.0</v>
      </c>
      <c r="P567" s="8">
        <f t="shared" si="1"/>
        <v>36178</v>
      </c>
    </row>
    <row r="568" ht="15.75" customHeight="1">
      <c r="A568" s="2">
        <v>1999.0</v>
      </c>
      <c r="B568" s="2">
        <v>1999.0</v>
      </c>
      <c r="C568" s="2">
        <v>1.0</v>
      </c>
      <c r="D568" s="2">
        <v>4.0</v>
      </c>
      <c r="E568" s="2" t="s">
        <v>771</v>
      </c>
      <c r="H568" s="2" t="s">
        <v>17</v>
      </c>
      <c r="I568" s="2" t="s">
        <v>74</v>
      </c>
      <c r="J568" s="1">
        <v>0.0</v>
      </c>
      <c r="K568" s="1">
        <v>0.0</v>
      </c>
      <c r="L568" s="2" t="s">
        <v>45</v>
      </c>
      <c r="N568" s="2">
        <v>1.0</v>
      </c>
      <c r="P568" s="8">
        <f t="shared" si="1"/>
        <v>36164</v>
      </c>
    </row>
    <row r="569" ht="15.75" customHeight="1">
      <c r="A569" s="2">
        <v>1999.0</v>
      </c>
      <c r="B569" s="2">
        <v>1999.0</v>
      </c>
      <c r="C569" s="2">
        <v>1.0</v>
      </c>
      <c r="D569" s="2">
        <v>2.0</v>
      </c>
      <c r="E569" s="2" t="s">
        <v>772</v>
      </c>
      <c r="H569" s="2" t="s">
        <v>17</v>
      </c>
      <c r="I569" s="2" t="s">
        <v>40</v>
      </c>
      <c r="J569" s="1">
        <v>0.0</v>
      </c>
      <c r="K569" s="1">
        <v>0.0</v>
      </c>
      <c r="L569" s="2" t="s">
        <v>24</v>
      </c>
      <c r="M569" s="2" t="s">
        <v>60</v>
      </c>
      <c r="N569" s="2">
        <v>2.0</v>
      </c>
      <c r="P569" s="8">
        <f t="shared" si="1"/>
        <v>36162</v>
      </c>
    </row>
    <row r="570" ht="15.75" customHeight="1">
      <c r="A570" s="2">
        <v>1999.0</v>
      </c>
      <c r="B570" s="2">
        <v>1998.0</v>
      </c>
      <c r="C570" s="2">
        <v>12.0</v>
      </c>
      <c r="D570" s="2">
        <v>30.0</v>
      </c>
      <c r="E570" s="2" t="s">
        <v>773</v>
      </c>
      <c r="H570" s="2" t="s">
        <v>17</v>
      </c>
      <c r="I570" s="2" t="s">
        <v>85</v>
      </c>
      <c r="J570" s="1">
        <v>0.0</v>
      </c>
      <c r="K570" s="1">
        <v>0.0</v>
      </c>
      <c r="L570" s="2" t="s">
        <v>45</v>
      </c>
      <c r="N570" s="2">
        <v>1.0</v>
      </c>
      <c r="P570" s="8">
        <f t="shared" si="1"/>
        <v>36159</v>
      </c>
    </row>
    <row r="571" ht="15.75" customHeight="1">
      <c r="A571" s="2">
        <v>1999.0</v>
      </c>
      <c r="B571" s="2">
        <v>1998.0</v>
      </c>
      <c r="C571" s="2">
        <v>11.0</v>
      </c>
      <c r="D571" s="2">
        <v>15.0</v>
      </c>
      <c r="E571" s="2" t="s">
        <v>774</v>
      </c>
      <c r="H571" s="2" t="s">
        <v>17</v>
      </c>
      <c r="I571" s="2" t="s">
        <v>85</v>
      </c>
      <c r="J571" s="1">
        <v>0.0</v>
      </c>
      <c r="K571" s="1">
        <v>0.0</v>
      </c>
      <c r="L571" s="2" t="s">
        <v>738</v>
      </c>
      <c r="N571" s="2">
        <v>1.0</v>
      </c>
      <c r="P571" s="8">
        <f t="shared" si="1"/>
        <v>36114</v>
      </c>
    </row>
    <row r="572" ht="15.75" customHeight="1">
      <c r="A572" s="2">
        <v>1999.0</v>
      </c>
      <c r="B572" s="2">
        <v>1998.0</v>
      </c>
      <c r="C572" s="2">
        <v>11.0</v>
      </c>
      <c r="D572" s="2">
        <v>7.0</v>
      </c>
      <c r="E572" s="2" t="s">
        <v>775</v>
      </c>
      <c r="H572" s="2" t="s">
        <v>17</v>
      </c>
      <c r="I572" s="2" t="s">
        <v>40</v>
      </c>
      <c r="J572" s="1">
        <v>0.0</v>
      </c>
      <c r="K572" s="1">
        <v>0.0</v>
      </c>
      <c r="L572" s="2" t="s">
        <v>51</v>
      </c>
      <c r="M572" s="2" t="s">
        <v>60</v>
      </c>
      <c r="N572" s="2">
        <v>1.0</v>
      </c>
      <c r="P572" s="8">
        <f t="shared" si="1"/>
        <v>36106</v>
      </c>
    </row>
    <row r="573" ht="15.75" customHeight="1">
      <c r="A573" s="2">
        <v>1998.0</v>
      </c>
      <c r="B573" s="2">
        <v>1998.0</v>
      </c>
      <c r="C573" s="2">
        <v>6.0</v>
      </c>
      <c r="D573" s="2">
        <v>11.0</v>
      </c>
      <c r="E573" s="2" t="s">
        <v>776</v>
      </c>
      <c r="H573" s="9" t="s">
        <v>17</v>
      </c>
      <c r="I573" s="2" t="s">
        <v>77</v>
      </c>
      <c r="J573" s="1">
        <v>0.0</v>
      </c>
      <c r="K573" s="1">
        <v>0.0</v>
      </c>
      <c r="L573" s="2" t="s">
        <v>29</v>
      </c>
      <c r="N573" s="2">
        <v>1.0</v>
      </c>
      <c r="P573" s="8">
        <f t="shared" si="1"/>
        <v>35957</v>
      </c>
    </row>
    <row r="574" ht="15.75" customHeight="1">
      <c r="A574" s="2">
        <v>1998.0</v>
      </c>
      <c r="B574" s="2">
        <v>1998.0</v>
      </c>
      <c r="C574" s="2">
        <v>5.0</v>
      </c>
      <c r="D574" s="2">
        <v>31.0</v>
      </c>
      <c r="E574" s="2" t="s">
        <v>777</v>
      </c>
      <c r="H574" s="2" t="s">
        <v>17</v>
      </c>
      <c r="I574" s="2" t="s">
        <v>59</v>
      </c>
      <c r="J574" s="1">
        <v>0.0</v>
      </c>
      <c r="K574" s="1">
        <v>0.0</v>
      </c>
      <c r="L574" s="2" t="s">
        <v>29</v>
      </c>
      <c r="N574" s="2">
        <v>1.0</v>
      </c>
      <c r="P574" s="8">
        <f t="shared" si="1"/>
        <v>35946</v>
      </c>
    </row>
    <row r="575" ht="15.75" customHeight="1">
      <c r="A575" s="2">
        <v>1998.0</v>
      </c>
      <c r="B575" s="2">
        <v>1998.0</v>
      </c>
      <c r="C575" s="2">
        <v>4.0</v>
      </c>
      <c r="D575" s="2">
        <v>25.0</v>
      </c>
      <c r="E575" s="2" t="s">
        <v>778</v>
      </c>
      <c r="H575" s="9" t="s">
        <v>17</v>
      </c>
      <c r="I575" s="2" t="s">
        <v>28</v>
      </c>
      <c r="J575" s="1">
        <v>0.0</v>
      </c>
      <c r="K575" s="1">
        <v>0.0</v>
      </c>
      <c r="L575" s="2" t="s">
        <v>45</v>
      </c>
      <c r="N575" s="2">
        <v>1.0</v>
      </c>
      <c r="P575" s="8">
        <f t="shared" si="1"/>
        <v>35910</v>
      </c>
    </row>
    <row r="576" ht="15.75" customHeight="1">
      <c r="A576" s="2">
        <v>1998.0</v>
      </c>
      <c r="B576" s="2">
        <v>1998.0</v>
      </c>
      <c r="C576" s="2">
        <v>4.0</v>
      </c>
      <c r="D576" s="2">
        <v>19.0</v>
      </c>
      <c r="E576" s="2" t="s">
        <v>779</v>
      </c>
      <c r="H576" s="2" t="s">
        <v>17</v>
      </c>
      <c r="I576" s="2" t="s">
        <v>35</v>
      </c>
      <c r="J576" s="1">
        <v>0.0</v>
      </c>
      <c r="K576" s="1">
        <v>0.0</v>
      </c>
      <c r="L576" s="2" t="s">
        <v>19</v>
      </c>
      <c r="M576" s="2" t="s">
        <v>103</v>
      </c>
      <c r="N576" s="2">
        <v>1.0</v>
      </c>
      <c r="P576" s="8">
        <f t="shared" si="1"/>
        <v>35904</v>
      </c>
    </row>
    <row r="577" ht="15.75" customHeight="1">
      <c r="A577" s="2">
        <v>1998.0</v>
      </c>
      <c r="B577" s="2">
        <v>1998.0</v>
      </c>
      <c r="C577" s="2">
        <v>4.0</v>
      </c>
      <c r="D577" s="2">
        <v>1.0</v>
      </c>
      <c r="E577" s="2" t="s">
        <v>780</v>
      </c>
      <c r="H577" s="2" t="s">
        <v>17</v>
      </c>
      <c r="I577" s="2" t="s">
        <v>35</v>
      </c>
      <c r="J577" s="1">
        <v>0.0</v>
      </c>
      <c r="K577" s="1">
        <v>0.0</v>
      </c>
      <c r="L577" s="2" t="s">
        <v>19</v>
      </c>
      <c r="N577" s="2">
        <v>1.0</v>
      </c>
      <c r="P577" s="8">
        <f t="shared" si="1"/>
        <v>35886</v>
      </c>
    </row>
    <row r="578" ht="15.75" customHeight="1">
      <c r="A578" s="2">
        <v>1998.0</v>
      </c>
      <c r="B578" s="2">
        <v>1998.0</v>
      </c>
      <c r="C578" s="2">
        <v>3.0</v>
      </c>
      <c r="D578" s="2">
        <v>8.0</v>
      </c>
      <c r="E578" s="2" t="s">
        <v>781</v>
      </c>
      <c r="H578" s="2" t="s">
        <v>196</v>
      </c>
      <c r="I578" s="2" t="s">
        <v>35</v>
      </c>
      <c r="J578" s="1">
        <v>0.0</v>
      </c>
      <c r="K578" s="1">
        <v>0.0</v>
      </c>
      <c r="L578" s="2" t="s">
        <v>51</v>
      </c>
      <c r="M578" s="2" t="s">
        <v>25</v>
      </c>
      <c r="N578" s="2">
        <v>1.0</v>
      </c>
      <c r="P578" s="8">
        <f t="shared" si="1"/>
        <v>35862</v>
      </c>
    </row>
    <row r="579" ht="15.75" customHeight="1">
      <c r="A579" s="2">
        <v>1998.0</v>
      </c>
      <c r="B579" s="2">
        <v>1998.0</v>
      </c>
      <c r="C579" s="2">
        <v>3.0</v>
      </c>
      <c r="D579" s="2">
        <v>1.0</v>
      </c>
      <c r="E579" s="2" t="s">
        <v>779</v>
      </c>
      <c r="H579" s="2" t="s">
        <v>17</v>
      </c>
      <c r="I579" s="2" t="s">
        <v>35</v>
      </c>
      <c r="J579" s="1">
        <v>0.0</v>
      </c>
      <c r="K579" s="1">
        <v>0.0</v>
      </c>
      <c r="L579" s="2" t="s">
        <v>51</v>
      </c>
      <c r="M579" s="2" t="s">
        <v>60</v>
      </c>
      <c r="N579" s="2">
        <v>1.0</v>
      </c>
      <c r="P579" s="8">
        <f t="shared" si="1"/>
        <v>35855</v>
      </c>
    </row>
    <row r="580" ht="15.75" customHeight="1">
      <c r="A580" s="2">
        <v>1998.0</v>
      </c>
      <c r="B580" s="2">
        <v>1998.0</v>
      </c>
      <c r="C580" s="2">
        <v>2.0</v>
      </c>
      <c r="D580" s="2">
        <v>22.0</v>
      </c>
      <c r="E580" s="1" t="s">
        <v>782</v>
      </c>
      <c r="H580" s="2" t="s">
        <v>17</v>
      </c>
      <c r="I580" s="2" t="s">
        <v>49</v>
      </c>
      <c r="J580" s="1">
        <v>0.0</v>
      </c>
      <c r="K580" s="1">
        <v>0.0</v>
      </c>
      <c r="L580" s="2" t="s">
        <v>45</v>
      </c>
      <c r="N580" s="2">
        <v>1.0</v>
      </c>
      <c r="P580" s="8">
        <f t="shared" si="1"/>
        <v>35848</v>
      </c>
    </row>
    <row r="581" ht="15.75" customHeight="1">
      <c r="A581" s="2">
        <v>1998.0</v>
      </c>
      <c r="B581" s="2">
        <v>1998.0</v>
      </c>
      <c r="C581" s="2">
        <v>2.0</v>
      </c>
      <c r="D581" s="2">
        <v>11.0</v>
      </c>
      <c r="E581" s="2" t="s">
        <v>783</v>
      </c>
      <c r="H581" s="2" t="s">
        <v>17</v>
      </c>
      <c r="I581" s="2" t="s">
        <v>18</v>
      </c>
      <c r="J581" s="1">
        <v>0.0</v>
      </c>
      <c r="K581" s="1">
        <v>0.0</v>
      </c>
      <c r="L581" s="2" t="s">
        <v>51</v>
      </c>
      <c r="M581" s="2" t="s">
        <v>60</v>
      </c>
      <c r="N581" s="2">
        <v>1.0</v>
      </c>
      <c r="P581" s="8">
        <f t="shared" si="1"/>
        <v>35837</v>
      </c>
    </row>
    <row r="582" ht="15.75" customHeight="1">
      <c r="A582" s="2">
        <v>1998.0</v>
      </c>
      <c r="B582" s="2">
        <v>1998.0</v>
      </c>
      <c r="C582" s="2">
        <v>1.0</v>
      </c>
      <c r="D582" s="2">
        <v>24.0</v>
      </c>
      <c r="E582" s="2" t="s">
        <v>784</v>
      </c>
      <c r="H582" s="2" t="s">
        <v>17</v>
      </c>
      <c r="I582" s="2" t="s">
        <v>85</v>
      </c>
      <c r="J582" s="1">
        <v>0.0</v>
      </c>
      <c r="K582" s="1">
        <v>0.0</v>
      </c>
      <c r="L582" s="2" t="s">
        <v>45</v>
      </c>
      <c r="N582" s="2">
        <v>1.0</v>
      </c>
      <c r="P582" s="8">
        <f t="shared" si="1"/>
        <v>35819</v>
      </c>
    </row>
    <row r="583" ht="15.75" customHeight="1">
      <c r="A583" s="2">
        <v>1998.0</v>
      </c>
      <c r="B583" s="2">
        <v>1998.0</v>
      </c>
      <c r="C583" s="2">
        <v>1.0</v>
      </c>
      <c r="D583" s="2">
        <v>21.0</v>
      </c>
      <c r="E583" s="2" t="s">
        <v>785</v>
      </c>
      <c r="H583" s="2" t="s">
        <v>17</v>
      </c>
      <c r="I583" s="2" t="s">
        <v>35</v>
      </c>
      <c r="J583" s="1">
        <v>0.0</v>
      </c>
      <c r="K583" s="1">
        <v>0.0</v>
      </c>
      <c r="L583" s="2" t="s">
        <v>24</v>
      </c>
      <c r="M583" s="2" t="s">
        <v>60</v>
      </c>
      <c r="N583" s="2">
        <v>1.0</v>
      </c>
      <c r="P583" s="8">
        <f t="shared" si="1"/>
        <v>35816</v>
      </c>
    </row>
    <row r="584" ht="15.75" customHeight="1">
      <c r="A584" s="2">
        <v>1998.0</v>
      </c>
      <c r="B584" s="2">
        <v>1998.0</v>
      </c>
      <c r="C584" s="2">
        <v>1.0</v>
      </c>
      <c r="D584" s="2">
        <v>18.0</v>
      </c>
      <c r="E584" s="2" t="s">
        <v>786</v>
      </c>
      <c r="H584" s="2" t="s">
        <v>17</v>
      </c>
      <c r="I584" s="2" t="s">
        <v>77</v>
      </c>
      <c r="J584" s="1">
        <v>0.0</v>
      </c>
      <c r="K584" s="1">
        <v>0.0</v>
      </c>
      <c r="L584" s="2" t="s">
        <v>45</v>
      </c>
      <c r="N584" s="2">
        <v>1.0</v>
      </c>
      <c r="P584" s="8">
        <f t="shared" si="1"/>
        <v>35813</v>
      </c>
    </row>
    <row r="585" ht="15.75" customHeight="1">
      <c r="A585" s="2">
        <v>1998.0</v>
      </c>
      <c r="B585" s="2">
        <v>1998.0</v>
      </c>
      <c r="C585" s="2">
        <v>1.0</v>
      </c>
      <c r="D585" s="2">
        <v>18.0</v>
      </c>
      <c r="E585" s="2" t="s">
        <v>787</v>
      </c>
      <c r="H585" s="2" t="s">
        <v>17</v>
      </c>
      <c r="I585" s="2" t="s">
        <v>40</v>
      </c>
      <c r="J585" s="1">
        <v>0.0</v>
      </c>
      <c r="K585" s="1">
        <v>0.0</v>
      </c>
      <c r="L585" s="2" t="s">
        <v>45</v>
      </c>
      <c r="N585" s="2">
        <v>1.0</v>
      </c>
      <c r="P585" s="8">
        <f t="shared" si="1"/>
        <v>35813</v>
      </c>
    </row>
    <row r="586" ht="15.75" customHeight="1">
      <c r="A586" s="2">
        <v>1998.0</v>
      </c>
      <c r="B586" s="2">
        <v>1998.0</v>
      </c>
      <c r="C586" s="2">
        <v>1.0</v>
      </c>
      <c r="D586" s="2">
        <v>18.0</v>
      </c>
      <c r="E586" s="2" t="s">
        <v>788</v>
      </c>
      <c r="H586" s="2" t="s">
        <v>17</v>
      </c>
      <c r="I586" s="2" t="s">
        <v>85</v>
      </c>
      <c r="J586" s="1">
        <v>0.0</v>
      </c>
      <c r="K586" s="1">
        <v>0.0</v>
      </c>
      <c r="L586" s="2" t="s">
        <v>45</v>
      </c>
      <c r="N586" s="2">
        <v>1.0</v>
      </c>
      <c r="P586" s="8">
        <f t="shared" si="1"/>
        <v>35813</v>
      </c>
    </row>
    <row r="587" ht="15.75" customHeight="1">
      <c r="A587" s="2">
        <v>1998.0</v>
      </c>
      <c r="B587" s="2">
        <v>1998.0</v>
      </c>
      <c r="C587" s="2">
        <v>1.0</v>
      </c>
      <c r="D587" s="2">
        <v>18.0</v>
      </c>
      <c r="E587" s="2" t="s">
        <v>789</v>
      </c>
      <c r="H587" s="2" t="s">
        <v>17</v>
      </c>
      <c r="I587" s="2" t="s">
        <v>85</v>
      </c>
      <c r="J587" s="1">
        <v>0.0</v>
      </c>
      <c r="K587" s="1">
        <v>0.0</v>
      </c>
      <c r="L587" s="2" t="s">
        <v>45</v>
      </c>
      <c r="M587" s="2" t="s">
        <v>46</v>
      </c>
      <c r="N587" s="2">
        <v>3.0</v>
      </c>
      <c r="P587" s="8">
        <f t="shared" si="1"/>
        <v>35813</v>
      </c>
    </row>
    <row r="588" ht="15.75" customHeight="1">
      <c r="A588" s="2">
        <v>1998.0</v>
      </c>
      <c r="B588" s="2">
        <v>1998.0</v>
      </c>
      <c r="C588" s="2">
        <v>1.0</v>
      </c>
      <c r="D588" s="2">
        <v>17.0</v>
      </c>
      <c r="E588" s="2" t="s">
        <v>790</v>
      </c>
      <c r="H588" s="2" t="s">
        <v>17</v>
      </c>
      <c r="I588" s="2" t="s">
        <v>40</v>
      </c>
      <c r="J588" s="1">
        <v>0.0</v>
      </c>
      <c r="K588" s="1">
        <v>0.0</v>
      </c>
      <c r="L588" s="2" t="s">
        <v>45</v>
      </c>
      <c r="N588" s="2">
        <v>1.0</v>
      </c>
      <c r="P588" s="8">
        <f t="shared" si="1"/>
        <v>35812</v>
      </c>
    </row>
    <row r="589" ht="15.75" customHeight="1">
      <c r="A589" s="2">
        <v>1998.0</v>
      </c>
      <c r="B589" s="2">
        <v>1998.0</v>
      </c>
      <c r="C589" s="2">
        <v>1.0</v>
      </c>
      <c r="D589" s="2">
        <v>11.0</v>
      </c>
      <c r="E589" s="2" t="s">
        <v>791</v>
      </c>
      <c r="H589" s="2" t="s">
        <v>17</v>
      </c>
      <c r="I589" s="2" t="s">
        <v>74</v>
      </c>
      <c r="J589" s="1">
        <v>0.0</v>
      </c>
      <c r="K589" s="1">
        <v>0.0</v>
      </c>
      <c r="L589" s="2" t="s">
        <v>45</v>
      </c>
      <c r="N589" s="2">
        <v>1.0</v>
      </c>
      <c r="P589" s="8">
        <f t="shared" si="1"/>
        <v>35806</v>
      </c>
    </row>
    <row r="590" ht="15.75" customHeight="1">
      <c r="A590" s="2">
        <v>1998.0</v>
      </c>
      <c r="B590" s="2">
        <v>1998.0</v>
      </c>
      <c r="C590" s="2">
        <v>1.0</v>
      </c>
      <c r="D590" s="2">
        <v>3.0</v>
      </c>
      <c r="E590" s="2" t="s">
        <v>792</v>
      </c>
      <c r="H590" s="2" t="s">
        <v>17</v>
      </c>
      <c r="I590" s="2" t="s">
        <v>85</v>
      </c>
      <c r="J590" s="1">
        <v>0.0</v>
      </c>
      <c r="K590" s="1">
        <v>0.0</v>
      </c>
      <c r="L590" s="2" t="s">
        <v>29</v>
      </c>
      <c r="N590" s="2">
        <v>1.0</v>
      </c>
      <c r="P590" s="8">
        <f t="shared" si="1"/>
        <v>35798</v>
      </c>
    </row>
    <row r="591" ht="15.75" customHeight="1">
      <c r="A591" s="2">
        <v>1998.0</v>
      </c>
      <c r="B591" s="2">
        <v>1998.0</v>
      </c>
      <c r="C591" s="2">
        <v>1.0</v>
      </c>
      <c r="D591" s="2">
        <v>3.0</v>
      </c>
      <c r="E591" s="2" t="s">
        <v>793</v>
      </c>
      <c r="H591" s="2" t="s">
        <v>17</v>
      </c>
      <c r="I591" s="2" t="s">
        <v>85</v>
      </c>
      <c r="J591" s="1">
        <v>0.0</v>
      </c>
      <c r="K591" s="1">
        <v>0.0</v>
      </c>
      <c r="L591" s="2" t="s">
        <v>45</v>
      </c>
      <c r="N591" s="2">
        <v>1.0</v>
      </c>
      <c r="P591" s="8">
        <f t="shared" si="1"/>
        <v>35798</v>
      </c>
    </row>
    <row r="592" ht="15.75" customHeight="1">
      <c r="A592" s="2">
        <v>1998.0</v>
      </c>
      <c r="B592" s="2">
        <v>1998.0</v>
      </c>
      <c r="C592" s="2">
        <v>1.0</v>
      </c>
      <c r="D592" s="2">
        <v>3.0</v>
      </c>
      <c r="E592" s="2" t="s">
        <v>794</v>
      </c>
      <c r="H592" s="2" t="s">
        <v>17</v>
      </c>
      <c r="I592" s="2" t="s">
        <v>49</v>
      </c>
      <c r="J592" s="1">
        <v>0.0</v>
      </c>
      <c r="K592" s="1">
        <v>0.0</v>
      </c>
      <c r="L592" s="2" t="s">
        <v>45</v>
      </c>
      <c r="N592" s="2">
        <v>1.0</v>
      </c>
      <c r="P592" s="8">
        <f t="shared" si="1"/>
        <v>35798</v>
      </c>
    </row>
    <row r="593" ht="15.75" customHeight="1">
      <c r="A593" s="2">
        <v>1998.0</v>
      </c>
      <c r="B593" s="2">
        <v>1998.0</v>
      </c>
      <c r="C593" s="2">
        <v>1.0</v>
      </c>
      <c r="D593" s="2">
        <v>3.0</v>
      </c>
      <c r="E593" s="2" t="s">
        <v>795</v>
      </c>
      <c r="H593" s="2" t="s">
        <v>17</v>
      </c>
      <c r="I593" s="2" t="s">
        <v>49</v>
      </c>
      <c r="J593" s="1">
        <v>0.0</v>
      </c>
      <c r="K593" s="1">
        <v>0.0</v>
      </c>
      <c r="L593" s="2" t="s">
        <v>45</v>
      </c>
      <c r="N593" s="2">
        <v>1.0</v>
      </c>
      <c r="P593" s="8">
        <f t="shared" si="1"/>
        <v>35798</v>
      </c>
    </row>
    <row r="594" ht="15.75" customHeight="1">
      <c r="A594" s="2">
        <v>1998.0</v>
      </c>
      <c r="B594" s="2">
        <v>1997.0</v>
      </c>
      <c r="C594" s="2">
        <v>12.0</v>
      </c>
      <c r="D594" s="2">
        <v>30.0</v>
      </c>
      <c r="E594" s="2" t="s">
        <v>796</v>
      </c>
      <c r="H594" s="2" t="s">
        <v>17</v>
      </c>
      <c r="I594" s="2" t="s">
        <v>35</v>
      </c>
      <c r="J594" s="1">
        <v>0.0</v>
      </c>
      <c r="K594" s="1">
        <v>0.0</v>
      </c>
      <c r="L594" s="2" t="s">
        <v>19</v>
      </c>
      <c r="M594" s="2" t="s">
        <v>103</v>
      </c>
      <c r="N594" s="2">
        <v>1.0</v>
      </c>
      <c r="P594" s="8">
        <f t="shared" si="1"/>
        <v>35794</v>
      </c>
    </row>
    <row r="595" ht="15.75" customHeight="1">
      <c r="A595" s="2">
        <v>1998.0</v>
      </c>
      <c r="B595" s="2">
        <v>1997.0</v>
      </c>
      <c r="C595" s="2">
        <v>11.0</v>
      </c>
      <c r="D595" s="2">
        <v>23.0</v>
      </c>
      <c r="E595" s="2" t="s">
        <v>797</v>
      </c>
      <c r="H595" s="2" t="s">
        <v>17</v>
      </c>
      <c r="I595" s="2" t="s">
        <v>28</v>
      </c>
      <c r="J595" s="1">
        <v>0.0</v>
      </c>
      <c r="K595" s="1">
        <v>0.0</v>
      </c>
      <c r="L595" s="2" t="s">
        <v>19</v>
      </c>
      <c r="N595" s="2">
        <v>1.0</v>
      </c>
      <c r="P595" s="8">
        <f t="shared" si="1"/>
        <v>35757</v>
      </c>
    </row>
    <row r="596" ht="15.75" customHeight="1">
      <c r="A596" s="2">
        <v>1998.0</v>
      </c>
      <c r="B596" s="2">
        <v>1997.0</v>
      </c>
      <c r="C596" s="2">
        <v>11.0</v>
      </c>
      <c r="D596" s="2">
        <v>9.0</v>
      </c>
      <c r="E596" s="2" t="s">
        <v>674</v>
      </c>
      <c r="H596" s="2" t="s">
        <v>17</v>
      </c>
      <c r="I596" s="2" t="s">
        <v>28</v>
      </c>
      <c r="J596" s="1">
        <v>0.0</v>
      </c>
      <c r="K596" s="1">
        <v>0.0</v>
      </c>
      <c r="L596" s="2" t="s">
        <v>24</v>
      </c>
      <c r="M596" s="2" t="s">
        <v>60</v>
      </c>
      <c r="N596" s="2">
        <v>1.0</v>
      </c>
      <c r="P596" s="8">
        <f t="shared" si="1"/>
        <v>35743</v>
      </c>
    </row>
    <row r="597" ht="15.75" customHeight="1">
      <c r="A597" s="2">
        <v>1997.0</v>
      </c>
      <c r="B597" s="2">
        <v>1997.0</v>
      </c>
      <c r="C597" s="2">
        <v>7.0</v>
      </c>
      <c r="D597" s="2">
        <v>5.0</v>
      </c>
      <c r="E597" s="2" t="s">
        <v>798</v>
      </c>
      <c r="H597" s="2" t="s">
        <v>17</v>
      </c>
      <c r="I597" s="2" t="s">
        <v>35</v>
      </c>
      <c r="J597" s="1">
        <v>0.0</v>
      </c>
      <c r="K597" s="1">
        <v>0.0</v>
      </c>
      <c r="L597" s="2" t="s">
        <v>29</v>
      </c>
      <c r="N597" s="2">
        <v>1.0</v>
      </c>
      <c r="P597" s="8">
        <f t="shared" si="1"/>
        <v>35616</v>
      </c>
    </row>
    <row r="598" ht="15.75" customHeight="1">
      <c r="A598" s="2">
        <v>1997.0</v>
      </c>
      <c r="B598" s="2">
        <v>1997.0</v>
      </c>
      <c r="C598" s="2">
        <v>6.0</v>
      </c>
      <c r="D598" s="2">
        <v>6.0</v>
      </c>
      <c r="E598" s="2" t="s">
        <v>799</v>
      </c>
      <c r="H598" s="9" t="s">
        <v>17</v>
      </c>
      <c r="I598" s="2" t="s">
        <v>28</v>
      </c>
      <c r="J598" s="1">
        <v>0.0</v>
      </c>
      <c r="K598" s="1">
        <v>0.0</v>
      </c>
      <c r="L598" s="2" t="s">
        <v>29</v>
      </c>
      <c r="N598" s="2">
        <v>1.0</v>
      </c>
      <c r="P598" s="8">
        <f t="shared" si="1"/>
        <v>35587</v>
      </c>
    </row>
    <row r="599" ht="15.75" customHeight="1">
      <c r="A599" s="2">
        <v>1997.0</v>
      </c>
      <c r="B599" s="2">
        <v>1997.0</v>
      </c>
      <c r="C599" s="2">
        <v>5.0</v>
      </c>
      <c r="D599" s="2">
        <v>29.0</v>
      </c>
      <c r="E599" s="2" t="s">
        <v>800</v>
      </c>
      <c r="H599" s="9" t="s">
        <v>17</v>
      </c>
      <c r="I599" s="2" t="s">
        <v>28</v>
      </c>
      <c r="J599" s="1">
        <v>0.0</v>
      </c>
      <c r="K599" s="1">
        <v>0.0</v>
      </c>
      <c r="L599" s="2" t="s">
        <v>29</v>
      </c>
      <c r="N599" s="2">
        <v>1.0</v>
      </c>
      <c r="P599" s="8">
        <f t="shared" si="1"/>
        <v>35579</v>
      </c>
    </row>
    <row r="600" ht="15.75" customHeight="1">
      <c r="A600" s="2">
        <v>1997.0</v>
      </c>
      <c r="B600" s="2">
        <v>1997.0</v>
      </c>
      <c r="C600" s="2">
        <v>4.0</v>
      </c>
      <c r="D600" s="2">
        <v>11.0</v>
      </c>
      <c r="E600" s="2" t="s">
        <v>801</v>
      </c>
      <c r="H600" s="2" t="s">
        <v>17</v>
      </c>
      <c r="I600" s="2" t="s">
        <v>28</v>
      </c>
      <c r="J600" s="1">
        <v>0.0</v>
      </c>
      <c r="K600" s="1">
        <v>0.0</v>
      </c>
      <c r="L600" s="2" t="s">
        <v>45</v>
      </c>
      <c r="N600" s="2">
        <v>1.0</v>
      </c>
      <c r="P600" s="8">
        <f t="shared" si="1"/>
        <v>35531</v>
      </c>
    </row>
    <row r="601" ht="15.75" customHeight="1">
      <c r="A601" s="2">
        <v>1997.0</v>
      </c>
      <c r="B601" s="2">
        <v>1997.0</v>
      </c>
      <c r="C601" s="2">
        <v>3.0</v>
      </c>
      <c r="D601" s="2">
        <v>8.0</v>
      </c>
      <c r="E601" s="2" t="s">
        <v>802</v>
      </c>
      <c r="H601" s="2" t="s">
        <v>17</v>
      </c>
      <c r="I601" s="2" t="s">
        <v>49</v>
      </c>
      <c r="J601" s="1">
        <v>0.0</v>
      </c>
      <c r="K601" s="1">
        <v>0.0</v>
      </c>
      <c r="L601" s="2" t="s">
        <v>45</v>
      </c>
      <c r="N601" s="2">
        <v>1.0</v>
      </c>
      <c r="P601" s="8">
        <f t="shared" si="1"/>
        <v>35497</v>
      </c>
    </row>
    <row r="602" ht="15.75" customHeight="1">
      <c r="A602" s="2">
        <v>1997.0</v>
      </c>
      <c r="B602" s="2">
        <v>1997.0</v>
      </c>
      <c r="C602" s="2">
        <v>3.0</v>
      </c>
      <c r="D602" s="2">
        <v>3.0</v>
      </c>
      <c r="E602" s="2" t="s">
        <v>803</v>
      </c>
      <c r="H602" s="9" t="s">
        <v>17</v>
      </c>
      <c r="I602" s="2" t="s">
        <v>74</v>
      </c>
      <c r="J602" s="1">
        <v>0.0</v>
      </c>
      <c r="K602" s="1">
        <v>0.0</v>
      </c>
      <c r="L602" s="2" t="s">
        <v>652</v>
      </c>
      <c r="N602" s="2">
        <v>2.0</v>
      </c>
      <c r="P602" s="8">
        <f t="shared" si="1"/>
        <v>35492</v>
      </c>
    </row>
    <row r="603" ht="15.75" customHeight="1">
      <c r="A603" s="2">
        <v>1997.0</v>
      </c>
      <c r="B603" s="2">
        <v>1997.0</v>
      </c>
      <c r="C603" s="2">
        <v>2.0</v>
      </c>
      <c r="D603" s="2">
        <v>21.0</v>
      </c>
      <c r="E603" s="2" t="s">
        <v>804</v>
      </c>
      <c r="H603" s="2" t="s">
        <v>17</v>
      </c>
      <c r="I603" s="2" t="s">
        <v>85</v>
      </c>
      <c r="J603" s="1">
        <v>0.0</v>
      </c>
      <c r="K603" s="1">
        <v>0.0</v>
      </c>
      <c r="L603" s="2" t="s">
        <v>45</v>
      </c>
      <c r="N603" s="2">
        <v>1.0</v>
      </c>
      <c r="P603" s="8">
        <f t="shared" si="1"/>
        <v>35482</v>
      </c>
    </row>
    <row r="604" ht="15.75" customHeight="1">
      <c r="A604" s="2">
        <v>1997.0</v>
      </c>
      <c r="B604" s="2">
        <v>1997.0</v>
      </c>
      <c r="C604" s="2">
        <v>2.0</v>
      </c>
      <c r="D604" s="2">
        <v>1.0</v>
      </c>
      <c r="E604" s="2" t="s">
        <v>805</v>
      </c>
      <c r="H604" s="2" t="s">
        <v>17</v>
      </c>
      <c r="I604" s="2" t="s">
        <v>49</v>
      </c>
      <c r="J604" s="1">
        <v>0.0</v>
      </c>
      <c r="K604" s="1">
        <v>0.0</v>
      </c>
      <c r="L604" s="2" t="s">
        <v>45</v>
      </c>
      <c r="N604" s="2">
        <v>1.0</v>
      </c>
      <c r="P604" s="8">
        <f t="shared" si="1"/>
        <v>35462</v>
      </c>
    </row>
    <row r="605" ht="15.75" customHeight="1">
      <c r="A605" s="2">
        <v>1997.0</v>
      </c>
      <c r="B605" s="2">
        <v>1997.0</v>
      </c>
      <c r="C605" s="2">
        <v>1.0</v>
      </c>
      <c r="D605" s="2">
        <v>25.0</v>
      </c>
      <c r="E605" s="2" t="s">
        <v>806</v>
      </c>
      <c r="H605" s="2" t="s">
        <v>17</v>
      </c>
      <c r="I605" s="2" t="s">
        <v>40</v>
      </c>
      <c r="J605" s="1">
        <v>0.0</v>
      </c>
      <c r="K605" s="1">
        <v>0.0</v>
      </c>
      <c r="L605" s="2" t="s">
        <v>29</v>
      </c>
      <c r="N605" s="2">
        <v>1.0</v>
      </c>
      <c r="P605" s="8">
        <f t="shared" si="1"/>
        <v>35455</v>
      </c>
    </row>
    <row r="606" ht="15.75" customHeight="1">
      <c r="A606" s="2">
        <v>1997.0</v>
      </c>
      <c r="B606" s="2">
        <v>1997.0</v>
      </c>
      <c r="C606" s="2">
        <v>1.0</v>
      </c>
      <c r="D606" s="2">
        <v>17.0</v>
      </c>
      <c r="E606" s="2" t="s">
        <v>807</v>
      </c>
      <c r="H606" s="2" t="s">
        <v>17</v>
      </c>
      <c r="I606" s="2" t="s">
        <v>28</v>
      </c>
      <c r="J606" s="1">
        <v>0.0</v>
      </c>
      <c r="K606" s="1">
        <v>0.0</v>
      </c>
      <c r="L606" s="2" t="s">
        <v>738</v>
      </c>
      <c r="N606" s="2">
        <v>1.0</v>
      </c>
      <c r="P606" s="8">
        <f t="shared" si="1"/>
        <v>35447</v>
      </c>
    </row>
    <row r="607" ht="15.75" customHeight="1">
      <c r="A607" s="2">
        <v>1997.0</v>
      </c>
      <c r="B607" s="2">
        <v>1997.0</v>
      </c>
      <c r="C607" s="2">
        <v>1.0</v>
      </c>
      <c r="D607" s="2">
        <v>11.0</v>
      </c>
      <c r="E607" s="2" t="s">
        <v>808</v>
      </c>
      <c r="H607" s="2" t="s">
        <v>17</v>
      </c>
      <c r="I607" s="2" t="s">
        <v>40</v>
      </c>
      <c r="J607" s="1">
        <v>0.0</v>
      </c>
      <c r="K607" s="1">
        <v>0.0</v>
      </c>
      <c r="L607" s="2" t="s">
        <v>24</v>
      </c>
      <c r="M607" s="2" t="s">
        <v>20</v>
      </c>
      <c r="N607" s="2">
        <v>3.0</v>
      </c>
      <c r="P607" s="8">
        <f t="shared" si="1"/>
        <v>35441</v>
      </c>
    </row>
    <row r="608" ht="15.75" customHeight="1">
      <c r="A608" s="2">
        <v>1997.0</v>
      </c>
      <c r="B608" s="2">
        <v>1997.0</v>
      </c>
      <c r="C608" s="2">
        <v>1.0</v>
      </c>
      <c r="D608" s="2">
        <v>11.0</v>
      </c>
      <c r="E608" s="2" t="s">
        <v>809</v>
      </c>
      <c r="H608" s="2" t="s">
        <v>17</v>
      </c>
      <c r="I608" s="2" t="s">
        <v>49</v>
      </c>
      <c r="J608" s="1">
        <v>0.0</v>
      </c>
      <c r="K608" s="1">
        <v>0.0</v>
      </c>
      <c r="L608" s="2" t="s">
        <v>45</v>
      </c>
      <c r="N608" s="2">
        <v>1.0</v>
      </c>
      <c r="P608" s="8">
        <f t="shared" si="1"/>
        <v>35441</v>
      </c>
    </row>
    <row r="609" ht="15.75" customHeight="1">
      <c r="A609" s="2">
        <v>1997.0</v>
      </c>
      <c r="B609" s="2">
        <v>1996.0</v>
      </c>
      <c r="C609" s="2">
        <v>12.0</v>
      </c>
      <c r="D609" s="2">
        <v>28.0</v>
      </c>
      <c r="E609" s="2" t="s">
        <v>810</v>
      </c>
      <c r="H609" s="2" t="s">
        <v>17</v>
      </c>
      <c r="I609" s="2" t="s">
        <v>77</v>
      </c>
      <c r="J609" s="1">
        <v>0.0</v>
      </c>
      <c r="K609" s="1">
        <v>0.0</v>
      </c>
      <c r="L609" s="2" t="s">
        <v>811</v>
      </c>
      <c r="N609" s="2">
        <v>3.0</v>
      </c>
      <c r="P609" s="8">
        <f t="shared" si="1"/>
        <v>35427</v>
      </c>
    </row>
    <row r="610" ht="15.75" customHeight="1">
      <c r="A610" s="2">
        <v>1997.0</v>
      </c>
      <c r="B610" s="2">
        <v>1996.0</v>
      </c>
      <c r="C610" s="2">
        <v>12.0</v>
      </c>
      <c r="D610" s="2">
        <v>26.0</v>
      </c>
      <c r="E610" s="2" t="s">
        <v>812</v>
      </c>
      <c r="H610" s="2" t="s">
        <v>17</v>
      </c>
      <c r="I610" s="2" t="s">
        <v>40</v>
      </c>
      <c r="J610" s="1">
        <v>0.0</v>
      </c>
      <c r="K610" s="1">
        <v>0.0</v>
      </c>
      <c r="L610" s="2" t="s">
        <v>24</v>
      </c>
      <c r="M610" s="2" t="s">
        <v>60</v>
      </c>
      <c r="N610" s="2">
        <v>1.0</v>
      </c>
      <c r="P610" s="8">
        <f t="shared" si="1"/>
        <v>35425</v>
      </c>
    </row>
    <row r="611" ht="15.75" customHeight="1">
      <c r="A611" s="2">
        <v>1997.0</v>
      </c>
      <c r="B611" s="2">
        <v>1996.0</v>
      </c>
      <c r="C611" s="2">
        <v>12.0</v>
      </c>
      <c r="D611" s="2">
        <v>23.0</v>
      </c>
      <c r="E611" s="2" t="s">
        <v>813</v>
      </c>
      <c r="H611" s="2" t="s">
        <v>17</v>
      </c>
      <c r="I611" s="2" t="s">
        <v>77</v>
      </c>
      <c r="J611" s="1">
        <v>0.0</v>
      </c>
      <c r="K611" s="1">
        <v>0.0</v>
      </c>
      <c r="L611" s="2" t="s">
        <v>29</v>
      </c>
      <c r="N611" s="2">
        <v>2.0</v>
      </c>
      <c r="P611" s="8">
        <f t="shared" si="1"/>
        <v>35422</v>
      </c>
    </row>
    <row r="612" ht="15.75" customHeight="1">
      <c r="A612" s="2">
        <v>1997.0</v>
      </c>
      <c r="B612" s="2">
        <v>1996.0</v>
      </c>
      <c r="C612" s="2">
        <v>12.0</v>
      </c>
      <c r="D612" s="2">
        <v>8.0</v>
      </c>
      <c r="E612" s="2" t="s">
        <v>814</v>
      </c>
      <c r="H612" s="2" t="s">
        <v>17</v>
      </c>
      <c r="I612" s="2" t="s">
        <v>40</v>
      </c>
      <c r="J612" s="1">
        <v>0.0</v>
      </c>
      <c r="K612" s="1">
        <v>0.0</v>
      </c>
      <c r="L612" s="2" t="s">
        <v>45</v>
      </c>
      <c r="N612" s="2">
        <v>1.0</v>
      </c>
      <c r="P612" s="8">
        <f t="shared" si="1"/>
        <v>35407</v>
      </c>
    </row>
    <row r="613" ht="15.75" customHeight="1">
      <c r="A613" s="2">
        <v>1996.0</v>
      </c>
      <c r="B613" s="2">
        <v>1996.0</v>
      </c>
      <c r="C613" s="2">
        <v>6.0</v>
      </c>
      <c r="D613" s="2">
        <v>24.0</v>
      </c>
      <c r="E613" s="2" t="s">
        <v>815</v>
      </c>
      <c r="H613" s="9" t="s">
        <v>17</v>
      </c>
      <c r="I613" s="2" t="s">
        <v>28</v>
      </c>
      <c r="J613" s="1">
        <v>0.0</v>
      </c>
      <c r="K613" s="1">
        <v>0.0</v>
      </c>
      <c r="L613" s="2" t="s">
        <v>29</v>
      </c>
      <c r="N613" s="2">
        <v>2.0</v>
      </c>
      <c r="P613" s="8">
        <f t="shared" si="1"/>
        <v>35240</v>
      </c>
    </row>
    <row r="614" ht="15.75" customHeight="1">
      <c r="A614" s="2">
        <v>1996.0</v>
      </c>
      <c r="B614" s="2">
        <v>1996.0</v>
      </c>
      <c r="C614" s="2">
        <v>6.0</v>
      </c>
      <c r="D614" s="2">
        <v>12.0</v>
      </c>
      <c r="E614" s="2" t="s">
        <v>816</v>
      </c>
      <c r="H614" s="9" t="s">
        <v>17</v>
      </c>
      <c r="I614" s="2" t="s">
        <v>28</v>
      </c>
      <c r="J614" s="1">
        <v>0.0</v>
      </c>
      <c r="K614" s="1">
        <v>0.0</v>
      </c>
      <c r="L614" s="2" t="s">
        <v>29</v>
      </c>
      <c r="N614" s="2">
        <v>1.0</v>
      </c>
      <c r="P614" s="8">
        <f t="shared" si="1"/>
        <v>35228</v>
      </c>
    </row>
    <row r="615" ht="15.75" customHeight="1">
      <c r="A615" s="2">
        <v>1996.0</v>
      </c>
      <c r="B615" s="2">
        <v>1996.0</v>
      </c>
      <c r="C615" s="2">
        <v>5.0</v>
      </c>
      <c r="D615" s="2">
        <v>13.0</v>
      </c>
      <c r="E615" s="2" t="s">
        <v>815</v>
      </c>
      <c r="H615" s="9" t="s">
        <v>17</v>
      </c>
      <c r="I615" s="2" t="s">
        <v>28</v>
      </c>
      <c r="J615" s="1">
        <v>0.0</v>
      </c>
      <c r="K615" s="1">
        <v>0.0</v>
      </c>
      <c r="L615" s="2" t="s">
        <v>29</v>
      </c>
      <c r="N615" s="2">
        <v>2.0</v>
      </c>
      <c r="P615" s="8">
        <f t="shared" si="1"/>
        <v>35198</v>
      </c>
    </row>
    <row r="616" ht="15.75" customHeight="1">
      <c r="A616" s="2">
        <v>1996.0</v>
      </c>
      <c r="B616" s="2">
        <v>1996.0</v>
      </c>
      <c r="C616" s="2">
        <v>3.0</v>
      </c>
      <c r="D616" s="2">
        <v>24.0</v>
      </c>
      <c r="E616" s="2" t="s">
        <v>817</v>
      </c>
      <c r="H616" s="2" t="s">
        <v>17</v>
      </c>
      <c r="I616" s="2" t="s">
        <v>40</v>
      </c>
      <c r="J616" s="1">
        <v>0.0</v>
      </c>
      <c r="K616" s="1">
        <v>0.0</v>
      </c>
      <c r="L616" s="2" t="s">
        <v>24</v>
      </c>
      <c r="M616" s="2" t="s">
        <v>25</v>
      </c>
      <c r="N616" s="2">
        <v>1.0</v>
      </c>
      <c r="P616" s="8">
        <f t="shared" si="1"/>
        <v>35148</v>
      </c>
    </row>
    <row r="617" ht="15.75" customHeight="1">
      <c r="A617" s="2">
        <v>1996.0</v>
      </c>
      <c r="B617" s="2">
        <v>1996.0</v>
      </c>
      <c r="C617" s="2">
        <v>3.0</v>
      </c>
      <c r="D617" s="2">
        <v>24.0</v>
      </c>
      <c r="E617" s="2" t="s">
        <v>744</v>
      </c>
      <c r="H617" s="2" t="s">
        <v>17</v>
      </c>
      <c r="I617" s="2" t="s">
        <v>166</v>
      </c>
      <c r="J617" s="1">
        <v>0.0</v>
      </c>
      <c r="K617" s="1">
        <v>0.0</v>
      </c>
      <c r="L617" s="2" t="s">
        <v>19</v>
      </c>
      <c r="N617" s="2">
        <v>2.0</v>
      </c>
      <c r="P617" s="8">
        <f t="shared" si="1"/>
        <v>35148</v>
      </c>
    </row>
    <row r="618" ht="15.75" customHeight="1">
      <c r="A618" s="2">
        <v>1996.0</v>
      </c>
      <c r="B618" s="2">
        <v>1996.0</v>
      </c>
      <c r="C618" s="2">
        <v>3.0</v>
      </c>
      <c r="D618" s="2">
        <v>9.0</v>
      </c>
      <c r="E618" s="2" t="s">
        <v>818</v>
      </c>
      <c r="H618" s="2" t="s">
        <v>17</v>
      </c>
      <c r="I618" s="2" t="s">
        <v>85</v>
      </c>
      <c r="J618" s="1">
        <v>0.0</v>
      </c>
      <c r="K618" s="1">
        <v>0.0</v>
      </c>
      <c r="L618" s="2" t="s">
        <v>45</v>
      </c>
      <c r="N618" s="2">
        <v>1.0</v>
      </c>
      <c r="P618" s="8">
        <f t="shared" si="1"/>
        <v>35133</v>
      </c>
    </row>
    <row r="619" ht="15.75" customHeight="1">
      <c r="A619" s="2">
        <v>1996.0</v>
      </c>
      <c r="B619" s="2">
        <v>1996.0</v>
      </c>
      <c r="C619" s="2">
        <v>3.0</v>
      </c>
      <c r="D619" s="2">
        <v>4.0</v>
      </c>
      <c r="E619" s="2" t="s">
        <v>819</v>
      </c>
      <c r="H619" s="2" t="s">
        <v>196</v>
      </c>
      <c r="I619" s="2" t="s">
        <v>35</v>
      </c>
      <c r="J619" s="1">
        <v>0.0</v>
      </c>
      <c r="K619" s="1">
        <v>0.0</v>
      </c>
      <c r="L619" s="2" t="s">
        <v>51</v>
      </c>
      <c r="M619" s="2" t="s">
        <v>25</v>
      </c>
      <c r="N619" s="2">
        <v>1.0</v>
      </c>
      <c r="P619" s="8">
        <f t="shared" si="1"/>
        <v>35128</v>
      </c>
    </row>
    <row r="620" ht="15.75" customHeight="1">
      <c r="A620" s="2">
        <v>1996.0</v>
      </c>
      <c r="B620" s="2">
        <v>1996.0</v>
      </c>
      <c r="C620" s="2">
        <v>2.0</v>
      </c>
      <c r="D620" s="2">
        <v>25.0</v>
      </c>
      <c r="E620" s="2" t="s">
        <v>818</v>
      </c>
      <c r="H620" s="2" t="s">
        <v>17</v>
      </c>
      <c r="I620" s="2" t="s">
        <v>85</v>
      </c>
      <c r="J620" s="1">
        <v>0.0</v>
      </c>
      <c r="K620" s="1">
        <v>0.0</v>
      </c>
      <c r="L620" s="2" t="s">
        <v>45</v>
      </c>
      <c r="N620" s="2">
        <v>1.0</v>
      </c>
      <c r="P620" s="8">
        <f t="shared" si="1"/>
        <v>35120</v>
      </c>
    </row>
    <row r="621" ht="15.75" customHeight="1">
      <c r="A621" s="2">
        <v>1996.0</v>
      </c>
      <c r="B621" s="2">
        <v>1996.0</v>
      </c>
      <c r="C621" s="2">
        <v>2.0</v>
      </c>
      <c r="D621" s="2">
        <v>21.0</v>
      </c>
      <c r="E621" s="2" t="s">
        <v>820</v>
      </c>
      <c r="H621" s="2" t="s">
        <v>39</v>
      </c>
      <c r="I621" s="2" t="s">
        <v>35</v>
      </c>
      <c r="J621" s="1">
        <v>0.0</v>
      </c>
      <c r="K621" s="1">
        <v>0.0</v>
      </c>
      <c r="L621" s="2" t="s">
        <v>41</v>
      </c>
      <c r="M621" s="2" t="s">
        <v>20</v>
      </c>
      <c r="N621" s="2">
        <v>1.0</v>
      </c>
      <c r="P621" s="8">
        <f t="shared" si="1"/>
        <v>35116</v>
      </c>
    </row>
    <row r="622" ht="15.75" customHeight="1">
      <c r="A622" s="2">
        <v>1996.0</v>
      </c>
      <c r="B622" s="2">
        <v>1996.0</v>
      </c>
      <c r="C622" s="2">
        <v>2.0</v>
      </c>
      <c r="D622" s="2">
        <v>18.0</v>
      </c>
      <c r="E622" s="2" t="s">
        <v>821</v>
      </c>
      <c r="H622" s="2" t="s">
        <v>17</v>
      </c>
      <c r="I622" s="2" t="s">
        <v>28</v>
      </c>
      <c r="J622" s="1">
        <v>0.0</v>
      </c>
      <c r="K622" s="1">
        <v>0.0</v>
      </c>
      <c r="L622" s="2" t="s">
        <v>29</v>
      </c>
      <c r="N622" s="2">
        <v>3.0</v>
      </c>
      <c r="P622" s="8">
        <f t="shared" si="1"/>
        <v>35113</v>
      </c>
    </row>
    <row r="623" ht="15.75" customHeight="1">
      <c r="A623" s="2">
        <v>1996.0</v>
      </c>
      <c r="B623" s="2">
        <v>1996.0</v>
      </c>
      <c r="C623" s="2">
        <v>2.0</v>
      </c>
      <c r="D623" s="2">
        <v>11.0</v>
      </c>
      <c r="E623" s="2" t="s">
        <v>822</v>
      </c>
      <c r="H623" s="2" t="s">
        <v>17</v>
      </c>
      <c r="I623" s="2" t="s">
        <v>85</v>
      </c>
      <c r="J623" s="1">
        <v>0.0</v>
      </c>
      <c r="K623" s="1">
        <v>0.0</v>
      </c>
      <c r="L623" s="2" t="s">
        <v>45</v>
      </c>
      <c r="N623" s="2">
        <v>1.0</v>
      </c>
      <c r="P623" s="8">
        <f t="shared" si="1"/>
        <v>35106</v>
      </c>
    </row>
    <row r="624" ht="15.75" customHeight="1">
      <c r="A624" s="2">
        <v>1996.0</v>
      </c>
      <c r="B624" s="2">
        <v>1996.0</v>
      </c>
      <c r="C624" s="2">
        <v>2.0</v>
      </c>
      <c r="D624" s="2">
        <v>10.0</v>
      </c>
      <c r="E624" s="2" t="s">
        <v>823</v>
      </c>
      <c r="H624" s="2" t="s">
        <v>17</v>
      </c>
      <c r="I624" s="2" t="s">
        <v>49</v>
      </c>
      <c r="J624" s="1">
        <v>0.0</v>
      </c>
      <c r="K624" s="1">
        <v>0.0</v>
      </c>
      <c r="L624" s="2" t="s">
        <v>217</v>
      </c>
      <c r="N624" s="2">
        <v>1.0</v>
      </c>
      <c r="P624" s="8">
        <f t="shared" si="1"/>
        <v>35105</v>
      </c>
    </row>
    <row r="625" ht="15.75" customHeight="1">
      <c r="A625" s="2">
        <v>1996.0</v>
      </c>
      <c r="B625" s="2">
        <v>1996.0</v>
      </c>
      <c r="C625" s="2">
        <v>2.0</v>
      </c>
      <c r="D625" s="2">
        <v>10.0</v>
      </c>
      <c r="E625" s="2" t="s">
        <v>824</v>
      </c>
      <c r="H625" s="2" t="s">
        <v>17</v>
      </c>
      <c r="I625" s="2" t="s">
        <v>74</v>
      </c>
      <c r="J625" s="1">
        <v>0.0</v>
      </c>
      <c r="K625" s="1">
        <v>0.0</v>
      </c>
      <c r="L625" s="2" t="s">
        <v>45</v>
      </c>
      <c r="N625" s="2">
        <v>1.0</v>
      </c>
      <c r="P625" s="8">
        <f t="shared" si="1"/>
        <v>35105</v>
      </c>
    </row>
    <row r="626" ht="15.75" customHeight="1">
      <c r="A626" s="2">
        <v>1996.0</v>
      </c>
      <c r="B626" s="2">
        <v>1996.0</v>
      </c>
      <c r="C626" s="2">
        <v>2.0</v>
      </c>
      <c r="D626" s="2">
        <v>4.0</v>
      </c>
      <c r="E626" s="2" t="s">
        <v>825</v>
      </c>
      <c r="H626" s="2" t="s">
        <v>17</v>
      </c>
      <c r="I626" s="2" t="s">
        <v>238</v>
      </c>
      <c r="J626" s="1">
        <v>0.0</v>
      </c>
      <c r="K626" s="1">
        <v>0.0</v>
      </c>
      <c r="L626" s="2" t="s">
        <v>24</v>
      </c>
      <c r="M626" s="2" t="s">
        <v>25</v>
      </c>
      <c r="N626" s="2">
        <v>1.0</v>
      </c>
      <c r="P626" s="8">
        <f t="shared" si="1"/>
        <v>35099</v>
      </c>
    </row>
    <row r="627" ht="15.75" customHeight="1">
      <c r="A627" s="2">
        <v>1996.0</v>
      </c>
      <c r="B627" s="2">
        <v>1996.0</v>
      </c>
      <c r="C627" s="2">
        <v>2.0</v>
      </c>
      <c r="D627" s="2">
        <v>4.0</v>
      </c>
      <c r="E627" s="2" t="s">
        <v>826</v>
      </c>
      <c r="H627" s="2" t="s">
        <v>17</v>
      </c>
      <c r="I627" s="2" t="s">
        <v>35</v>
      </c>
      <c r="J627" s="1">
        <v>0.0</v>
      </c>
      <c r="K627" s="1">
        <v>0.0</v>
      </c>
      <c r="L627" s="2" t="s">
        <v>51</v>
      </c>
      <c r="M627" s="2" t="s">
        <v>60</v>
      </c>
      <c r="N627" s="2">
        <v>1.0</v>
      </c>
      <c r="P627" s="8">
        <f t="shared" si="1"/>
        <v>35099</v>
      </c>
    </row>
    <row r="628" ht="15.75" customHeight="1">
      <c r="A628" s="2">
        <v>1996.0</v>
      </c>
      <c r="B628" s="2">
        <v>1996.0</v>
      </c>
      <c r="C628" s="2">
        <v>2.0</v>
      </c>
      <c r="D628" s="2">
        <v>3.0</v>
      </c>
      <c r="E628" s="2" t="s">
        <v>827</v>
      </c>
      <c r="H628" s="2" t="s">
        <v>17</v>
      </c>
      <c r="I628" s="2" t="s">
        <v>35</v>
      </c>
      <c r="J628" s="1">
        <v>0.0</v>
      </c>
      <c r="K628" s="1">
        <v>0.0</v>
      </c>
      <c r="L628" s="2" t="s">
        <v>45</v>
      </c>
      <c r="N628" s="2">
        <v>1.0</v>
      </c>
      <c r="P628" s="8">
        <f t="shared" si="1"/>
        <v>35098</v>
      </c>
    </row>
    <row r="629" ht="15.75" customHeight="1">
      <c r="A629" s="2">
        <v>1996.0</v>
      </c>
      <c r="B629" s="2">
        <v>1996.0</v>
      </c>
      <c r="C629" s="2">
        <v>2.0</v>
      </c>
      <c r="D629" s="2">
        <v>2.0</v>
      </c>
      <c r="E629" s="2" t="s">
        <v>828</v>
      </c>
      <c r="H629" s="2" t="s">
        <v>196</v>
      </c>
      <c r="I629" s="2" t="s">
        <v>40</v>
      </c>
      <c r="J629" s="1">
        <v>0.0</v>
      </c>
      <c r="K629" s="1">
        <v>0.0</v>
      </c>
      <c r="L629" s="2" t="s">
        <v>384</v>
      </c>
      <c r="N629" s="2">
        <v>1.0</v>
      </c>
      <c r="P629" s="8">
        <f t="shared" si="1"/>
        <v>35097</v>
      </c>
    </row>
    <row r="630" ht="15.75" customHeight="1">
      <c r="A630" s="2">
        <v>1996.0</v>
      </c>
      <c r="B630" s="2">
        <v>1996.0</v>
      </c>
      <c r="C630" s="2">
        <v>1.0</v>
      </c>
      <c r="D630" s="2">
        <v>27.0</v>
      </c>
      <c r="E630" s="2" t="s">
        <v>829</v>
      </c>
      <c r="H630" s="2" t="s">
        <v>17</v>
      </c>
      <c r="I630" s="2" t="s">
        <v>35</v>
      </c>
      <c r="J630" s="1">
        <v>0.0</v>
      </c>
      <c r="K630" s="1">
        <v>0.0</v>
      </c>
      <c r="L630" s="2" t="s">
        <v>29</v>
      </c>
      <c r="N630" s="2">
        <v>1.0</v>
      </c>
      <c r="P630" s="8">
        <f t="shared" si="1"/>
        <v>35091</v>
      </c>
    </row>
    <row r="631" ht="15.75" customHeight="1">
      <c r="A631" s="2">
        <v>1996.0</v>
      </c>
      <c r="B631" s="2">
        <v>1996.0</v>
      </c>
      <c r="C631" s="2">
        <v>1.0</v>
      </c>
      <c r="D631" s="2">
        <v>23.0</v>
      </c>
      <c r="E631" s="2" t="s">
        <v>830</v>
      </c>
      <c r="H631" s="2" t="s">
        <v>17</v>
      </c>
      <c r="I631" s="2" t="s">
        <v>35</v>
      </c>
      <c r="J631" s="1">
        <v>0.0</v>
      </c>
      <c r="K631" s="1">
        <v>0.0</v>
      </c>
      <c r="L631" s="2" t="s">
        <v>24</v>
      </c>
      <c r="M631" s="2" t="s">
        <v>25</v>
      </c>
      <c r="N631" s="2">
        <v>1.0</v>
      </c>
      <c r="P631" s="8">
        <f t="shared" si="1"/>
        <v>35087</v>
      </c>
    </row>
    <row r="632" ht="15.75" customHeight="1">
      <c r="A632" s="2">
        <v>1996.0</v>
      </c>
      <c r="B632" s="2">
        <v>1996.0</v>
      </c>
      <c r="C632" s="2">
        <v>1.0</v>
      </c>
      <c r="D632" s="2">
        <v>21.0</v>
      </c>
      <c r="E632" s="2" t="s">
        <v>831</v>
      </c>
      <c r="H632" s="2" t="s">
        <v>17</v>
      </c>
      <c r="I632" s="2" t="s">
        <v>74</v>
      </c>
      <c r="J632" s="1">
        <v>0.0</v>
      </c>
      <c r="K632" s="1">
        <v>0.0</v>
      </c>
      <c r="L632" s="2" t="s">
        <v>24</v>
      </c>
      <c r="M632" s="2" t="s">
        <v>25</v>
      </c>
      <c r="N632" s="2">
        <v>1.0</v>
      </c>
      <c r="P632" s="8">
        <f t="shared" si="1"/>
        <v>35085</v>
      </c>
    </row>
    <row r="633" ht="15.75" customHeight="1">
      <c r="A633" s="2">
        <v>1996.0</v>
      </c>
      <c r="B633" s="2">
        <v>1996.0</v>
      </c>
      <c r="C633" s="2">
        <v>1.0</v>
      </c>
      <c r="D633" s="2">
        <v>14.0</v>
      </c>
      <c r="E633" s="2" t="s">
        <v>832</v>
      </c>
      <c r="H633" s="2" t="s">
        <v>196</v>
      </c>
      <c r="I633" s="2" t="s">
        <v>74</v>
      </c>
      <c r="J633" s="1">
        <v>0.0</v>
      </c>
      <c r="K633" s="1">
        <v>0.0</v>
      </c>
      <c r="L633" s="2" t="s">
        <v>425</v>
      </c>
      <c r="N633" s="2">
        <v>1.0</v>
      </c>
      <c r="P633" s="8">
        <f t="shared" si="1"/>
        <v>35078</v>
      </c>
    </row>
    <row r="634" ht="15.75" customHeight="1">
      <c r="A634" s="2">
        <v>1996.0</v>
      </c>
      <c r="B634" s="2">
        <v>1996.0</v>
      </c>
      <c r="C634" s="2">
        <v>1.0</v>
      </c>
      <c r="D634" s="2">
        <v>5.0</v>
      </c>
      <c r="E634" s="2" t="s">
        <v>833</v>
      </c>
      <c r="H634" s="2" t="s">
        <v>17</v>
      </c>
      <c r="I634" s="2" t="s">
        <v>49</v>
      </c>
      <c r="J634" s="1">
        <v>0.0</v>
      </c>
      <c r="K634" s="1">
        <v>0.0</v>
      </c>
      <c r="L634" s="2" t="s">
        <v>24</v>
      </c>
      <c r="M634" s="2" t="s">
        <v>60</v>
      </c>
      <c r="N634" s="2">
        <v>2.0</v>
      </c>
      <c r="P634" s="8">
        <f t="shared" si="1"/>
        <v>35069</v>
      </c>
    </row>
    <row r="635" ht="15.75" customHeight="1">
      <c r="A635" s="2">
        <v>1996.0</v>
      </c>
      <c r="B635" s="2">
        <v>1996.0</v>
      </c>
      <c r="C635" s="2">
        <v>1.0</v>
      </c>
      <c r="D635" s="2">
        <v>5.0</v>
      </c>
      <c r="E635" s="2" t="s">
        <v>744</v>
      </c>
      <c r="H635" s="2" t="s">
        <v>17</v>
      </c>
      <c r="I635" s="2" t="s">
        <v>166</v>
      </c>
      <c r="J635" s="1">
        <v>0.0</v>
      </c>
      <c r="K635" s="1">
        <v>0.0</v>
      </c>
      <c r="L635" s="2" t="s">
        <v>19</v>
      </c>
      <c r="N635" s="2">
        <v>1.0</v>
      </c>
      <c r="P635" s="8">
        <f t="shared" si="1"/>
        <v>35069</v>
      </c>
    </row>
    <row r="636" ht="15.75" customHeight="1">
      <c r="A636" s="2">
        <v>1996.0</v>
      </c>
      <c r="B636" s="2">
        <v>1995.0</v>
      </c>
      <c r="C636" s="2">
        <v>12.0</v>
      </c>
      <c r="D636" s="2">
        <v>31.0</v>
      </c>
      <c r="E636" s="2" t="s">
        <v>834</v>
      </c>
      <c r="H636" s="2" t="s">
        <v>17</v>
      </c>
      <c r="I636" s="2" t="s">
        <v>35</v>
      </c>
      <c r="J636" s="1">
        <v>0.0</v>
      </c>
      <c r="K636" s="1">
        <v>0.0</v>
      </c>
      <c r="L636" s="2" t="s">
        <v>24</v>
      </c>
      <c r="M636" s="2" t="s">
        <v>60</v>
      </c>
      <c r="N636" s="2">
        <v>1.0</v>
      </c>
      <c r="P636" s="8">
        <f t="shared" si="1"/>
        <v>35064</v>
      </c>
    </row>
    <row r="637" ht="15.75" customHeight="1">
      <c r="A637" s="2">
        <v>1995.0</v>
      </c>
      <c r="B637" s="2">
        <v>1995.0</v>
      </c>
      <c r="C637" s="2">
        <v>6.0</v>
      </c>
      <c r="D637" s="2">
        <v>14.0</v>
      </c>
      <c r="E637" s="2" t="s">
        <v>835</v>
      </c>
      <c r="H637" s="9" t="s">
        <v>17</v>
      </c>
      <c r="I637" s="2" t="s">
        <v>18</v>
      </c>
      <c r="J637" s="1">
        <v>0.0</v>
      </c>
      <c r="K637" s="1">
        <v>0.0</v>
      </c>
      <c r="L637" s="2" t="s">
        <v>421</v>
      </c>
      <c r="N637" s="2">
        <v>1.0</v>
      </c>
      <c r="P637" s="8">
        <f t="shared" si="1"/>
        <v>34864</v>
      </c>
    </row>
    <row r="638" ht="15.75" customHeight="1">
      <c r="A638" s="2">
        <v>1995.0</v>
      </c>
      <c r="B638" s="2">
        <v>1995.0</v>
      </c>
      <c r="C638" s="2">
        <v>6.0</v>
      </c>
      <c r="D638" s="2">
        <v>0.0</v>
      </c>
      <c r="E638" s="2" t="s">
        <v>836</v>
      </c>
      <c r="H638" s="9" t="s">
        <v>17</v>
      </c>
      <c r="I638" s="2" t="s">
        <v>85</v>
      </c>
      <c r="J638" s="1">
        <v>0.0</v>
      </c>
      <c r="K638" s="1">
        <v>0.0</v>
      </c>
      <c r="L638" s="2" t="s">
        <v>29</v>
      </c>
      <c r="N638" s="2">
        <v>1.0</v>
      </c>
      <c r="P638" s="8">
        <f t="shared" si="1"/>
        <v>34850</v>
      </c>
    </row>
    <row r="639" ht="15.75" customHeight="1">
      <c r="A639" s="2">
        <v>1995.0</v>
      </c>
      <c r="B639" s="2">
        <v>1995.0</v>
      </c>
      <c r="C639" s="2">
        <v>4.0</v>
      </c>
      <c r="D639" s="2">
        <v>24.0</v>
      </c>
      <c r="E639" s="2" t="s">
        <v>734</v>
      </c>
      <c r="H639" s="2" t="s">
        <v>17</v>
      </c>
      <c r="I639" s="2" t="s">
        <v>74</v>
      </c>
      <c r="J639" s="1">
        <v>0.0</v>
      </c>
      <c r="K639" s="1">
        <v>0.0</v>
      </c>
      <c r="L639" s="2" t="s">
        <v>24</v>
      </c>
      <c r="M639" s="2" t="s">
        <v>60</v>
      </c>
      <c r="N639" s="2">
        <v>1.0</v>
      </c>
      <c r="P639" s="8">
        <f t="shared" si="1"/>
        <v>34813</v>
      </c>
    </row>
    <row r="640" ht="15.75" customHeight="1">
      <c r="A640" s="2">
        <v>1995.0</v>
      </c>
      <c r="B640" s="2">
        <v>1995.0</v>
      </c>
      <c r="C640" s="2">
        <v>4.0</v>
      </c>
      <c r="D640" s="2">
        <v>24.0</v>
      </c>
      <c r="E640" s="2" t="s">
        <v>837</v>
      </c>
      <c r="H640" s="2" t="s">
        <v>17</v>
      </c>
      <c r="I640" s="2" t="s">
        <v>35</v>
      </c>
      <c r="J640" s="1">
        <v>0.0</v>
      </c>
      <c r="K640" s="1">
        <v>0.0</v>
      </c>
      <c r="L640" s="2" t="s">
        <v>24</v>
      </c>
      <c r="M640" s="2" t="s">
        <v>25</v>
      </c>
      <c r="N640" s="2">
        <v>1.0</v>
      </c>
      <c r="P640" s="8">
        <f t="shared" si="1"/>
        <v>34813</v>
      </c>
    </row>
    <row r="641" ht="15.75" customHeight="1">
      <c r="A641" s="2">
        <v>1995.0</v>
      </c>
      <c r="B641" s="2">
        <v>1995.0</v>
      </c>
      <c r="C641" s="2">
        <v>4.0</v>
      </c>
      <c r="D641" s="2">
        <v>24.0</v>
      </c>
      <c r="E641" s="2" t="s">
        <v>838</v>
      </c>
      <c r="H641" s="9" t="s">
        <v>17</v>
      </c>
      <c r="I641" s="2" t="s">
        <v>28</v>
      </c>
      <c r="J641" s="1">
        <v>0.0</v>
      </c>
      <c r="K641" s="1">
        <v>0.0</v>
      </c>
      <c r="L641" s="2" t="s">
        <v>29</v>
      </c>
      <c r="N641" s="2">
        <v>3.0</v>
      </c>
      <c r="P641" s="8">
        <f t="shared" si="1"/>
        <v>34813</v>
      </c>
    </row>
    <row r="642" ht="15.75" customHeight="1">
      <c r="A642" s="2">
        <v>1995.0</v>
      </c>
      <c r="B642" s="2">
        <v>1995.0</v>
      </c>
      <c r="C642" s="2">
        <v>4.0</v>
      </c>
      <c r="D642" s="2">
        <v>24.0</v>
      </c>
      <c r="E642" s="2" t="s">
        <v>839</v>
      </c>
      <c r="H642" s="2" t="s">
        <v>17</v>
      </c>
      <c r="I642" s="2" t="s">
        <v>85</v>
      </c>
      <c r="J642" s="1">
        <v>0.0</v>
      </c>
      <c r="K642" s="1">
        <v>0.0</v>
      </c>
      <c r="L642" s="2" t="s">
        <v>45</v>
      </c>
      <c r="N642" s="2">
        <v>2.0</v>
      </c>
      <c r="P642" s="8">
        <f t="shared" si="1"/>
        <v>34813</v>
      </c>
    </row>
    <row r="643" ht="15.75" customHeight="1">
      <c r="A643" s="2">
        <v>1995.0</v>
      </c>
      <c r="B643" s="2">
        <v>1995.0</v>
      </c>
      <c r="C643" s="2">
        <v>4.0</v>
      </c>
      <c r="D643" s="2">
        <v>9.0</v>
      </c>
      <c r="E643" s="2" t="s">
        <v>840</v>
      </c>
      <c r="H643" s="2" t="s">
        <v>17</v>
      </c>
      <c r="I643" s="2" t="s">
        <v>35</v>
      </c>
      <c r="J643" s="1">
        <v>0.0</v>
      </c>
      <c r="K643" s="1">
        <v>0.0</v>
      </c>
      <c r="L643" s="2" t="s">
        <v>29</v>
      </c>
      <c r="N643" s="2">
        <v>1.0</v>
      </c>
      <c r="P643" s="8">
        <f t="shared" si="1"/>
        <v>34798</v>
      </c>
    </row>
    <row r="644" ht="15.75" customHeight="1">
      <c r="A644" s="2">
        <v>1995.0</v>
      </c>
      <c r="B644" s="2">
        <v>1995.0</v>
      </c>
      <c r="C644" s="2">
        <v>2.0</v>
      </c>
      <c r="D644" s="2">
        <v>25.0</v>
      </c>
      <c r="E644" s="2" t="s">
        <v>841</v>
      </c>
      <c r="H644" s="2" t="s">
        <v>17</v>
      </c>
      <c r="I644" s="2" t="s">
        <v>28</v>
      </c>
      <c r="J644" s="1">
        <v>0.0</v>
      </c>
      <c r="K644" s="1">
        <v>0.0</v>
      </c>
      <c r="L644" s="2" t="s">
        <v>24</v>
      </c>
      <c r="M644" s="2" t="s">
        <v>25</v>
      </c>
      <c r="N644" s="2">
        <v>1.0</v>
      </c>
      <c r="P644" s="8">
        <f t="shared" si="1"/>
        <v>34755</v>
      </c>
    </row>
    <row r="645" ht="15.75" customHeight="1">
      <c r="A645" s="2">
        <v>1995.0</v>
      </c>
      <c r="B645" s="2">
        <v>1995.0</v>
      </c>
      <c r="C645" s="2">
        <v>2.0</v>
      </c>
      <c r="D645" s="2">
        <v>25.0</v>
      </c>
      <c r="E645" s="2" t="s">
        <v>842</v>
      </c>
      <c r="H645" s="2" t="s">
        <v>17</v>
      </c>
      <c r="I645" s="2" t="s">
        <v>35</v>
      </c>
      <c r="J645" s="1">
        <v>0.0</v>
      </c>
      <c r="K645" s="1">
        <v>0.0</v>
      </c>
      <c r="L645" s="2" t="s">
        <v>45</v>
      </c>
      <c r="N645" s="2">
        <v>1.0</v>
      </c>
      <c r="P645" s="8">
        <f t="shared" si="1"/>
        <v>34755</v>
      </c>
    </row>
    <row r="646" ht="15.75" customHeight="1">
      <c r="A646" s="2">
        <v>1995.0</v>
      </c>
      <c r="B646" s="2">
        <v>1995.0</v>
      </c>
      <c r="C646" s="2">
        <v>2.0</v>
      </c>
      <c r="D646" s="2">
        <v>22.0</v>
      </c>
      <c r="E646" s="2" t="s">
        <v>843</v>
      </c>
      <c r="H646" s="2" t="s">
        <v>17</v>
      </c>
      <c r="I646" s="2" t="s">
        <v>28</v>
      </c>
      <c r="J646" s="1">
        <v>0.0</v>
      </c>
      <c r="K646" s="1">
        <v>0.0</v>
      </c>
      <c r="L646" s="2" t="s">
        <v>45</v>
      </c>
      <c r="N646" s="2">
        <v>1.0</v>
      </c>
      <c r="P646" s="8">
        <f t="shared" si="1"/>
        <v>34752</v>
      </c>
    </row>
    <row r="647" ht="15.75" customHeight="1">
      <c r="A647" s="2">
        <v>1995.0</v>
      </c>
      <c r="B647" s="2">
        <v>1995.0</v>
      </c>
      <c r="C647" s="2">
        <v>2.0</v>
      </c>
      <c r="D647" s="2">
        <v>14.0</v>
      </c>
      <c r="E647" s="2" t="s">
        <v>844</v>
      </c>
      <c r="H647" s="2" t="s">
        <v>845</v>
      </c>
      <c r="I647" s="2" t="s">
        <v>35</v>
      </c>
      <c r="J647" s="1">
        <v>0.0</v>
      </c>
      <c r="K647" s="1">
        <v>0.0</v>
      </c>
      <c r="L647" s="2" t="s">
        <v>41</v>
      </c>
      <c r="M647" s="2" t="s">
        <v>20</v>
      </c>
      <c r="N647" s="2">
        <v>1.0</v>
      </c>
      <c r="P647" s="8">
        <f t="shared" si="1"/>
        <v>34744</v>
      </c>
    </row>
    <row r="648" ht="15.75" customHeight="1">
      <c r="A648" s="2">
        <v>1995.0</v>
      </c>
      <c r="B648" s="2">
        <v>1995.0</v>
      </c>
      <c r="C648" s="2">
        <v>2.0</v>
      </c>
      <c r="D648" s="2">
        <v>12.0</v>
      </c>
      <c r="E648" s="2" t="s">
        <v>846</v>
      </c>
      <c r="H648" s="2" t="s">
        <v>17</v>
      </c>
      <c r="I648" s="2" t="s">
        <v>40</v>
      </c>
      <c r="J648" s="1">
        <v>0.0</v>
      </c>
      <c r="K648" s="1">
        <v>0.0</v>
      </c>
      <c r="L648" s="2" t="s">
        <v>24</v>
      </c>
      <c r="M648" s="2" t="s">
        <v>25</v>
      </c>
      <c r="N648" s="2">
        <v>1.0</v>
      </c>
      <c r="P648" s="8">
        <f t="shared" si="1"/>
        <v>34742</v>
      </c>
    </row>
    <row r="649" ht="15.75" customHeight="1">
      <c r="A649" s="2">
        <v>1995.0</v>
      </c>
      <c r="B649" s="2">
        <v>1995.0</v>
      </c>
      <c r="C649" s="2">
        <v>2.0</v>
      </c>
      <c r="D649" s="2">
        <v>12.0</v>
      </c>
      <c r="E649" s="2" t="s">
        <v>847</v>
      </c>
      <c r="H649" s="2" t="s">
        <v>17</v>
      </c>
      <c r="I649" s="2" t="s">
        <v>35</v>
      </c>
      <c r="J649" s="1">
        <v>0.0</v>
      </c>
      <c r="K649" s="1">
        <v>0.0</v>
      </c>
      <c r="L649" s="2" t="s">
        <v>24</v>
      </c>
      <c r="M649" s="2" t="s">
        <v>25</v>
      </c>
      <c r="N649" s="2">
        <v>1.0</v>
      </c>
      <c r="P649" s="8">
        <f t="shared" si="1"/>
        <v>34742</v>
      </c>
    </row>
    <row r="650" ht="15.75" customHeight="1">
      <c r="A650" s="2">
        <v>1995.0</v>
      </c>
      <c r="B650" s="2">
        <v>1995.0</v>
      </c>
      <c r="C650" s="2">
        <v>1.0</v>
      </c>
      <c r="D650" s="2">
        <v>30.0</v>
      </c>
      <c r="E650" s="9" t="s">
        <v>848</v>
      </c>
      <c r="H650" s="2" t="s">
        <v>17</v>
      </c>
      <c r="I650" s="2" t="s">
        <v>849</v>
      </c>
      <c r="J650" s="1">
        <v>0.0</v>
      </c>
      <c r="K650" s="1">
        <v>0.0</v>
      </c>
      <c r="L650" s="9" t="s">
        <v>51</v>
      </c>
      <c r="M650" s="2" t="s">
        <v>60</v>
      </c>
      <c r="N650" s="2">
        <v>1.0</v>
      </c>
      <c r="P650" s="8">
        <f t="shared" si="1"/>
        <v>34729</v>
      </c>
    </row>
    <row r="651" ht="15.75" customHeight="1">
      <c r="A651" s="2">
        <v>1995.0</v>
      </c>
      <c r="B651" s="2">
        <v>1995.0</v>
      </c>
      <c r="C651" s="2">
        <v>1.0</v>
      </c>
      <c r="D651" s="2">
        <v>24.0</v>
      </c>
      <c r="E651" s="2" t="s">
        <v>850</v>
      </c>
      <c r="H651" s="2" t="s">
        <v>196</v>
      </c>
      <c r="I651" s="2" t="s">
        <v>18</v>
      </c>
      <c r="J651" s="1">
        <v>0.0</v>
      </c>
      <c r="K651" s="1">
        <v>0.0</v>
      </c>
      <c r="L651" s="2" t="s">
        <v>197</v>
      </c>
      <c r="M651" s="2" t="s">
        <v>60</v>
      </c>
      <c r="N651" s="2">
        <v>1.0</v>
      </c>
      <c r="P651" s="8">
        <f t="shared" si="1"/>
        <v>34723</v>
      </c>
    </row>
    <row r="652" ht="15.75" customHeight="1">
      <c r="A652" s="2">
        <v>1995.0</v>
      </c>
      <c r="B652" s="2">
        <v>1995.0</v>
      </c>
      <c r="C652" s="2">
        <v>1.0</v>
      </c>
      <c r="D652" s="2">
        <v>22.0</v>
      </c>
      <c r="E652" s="2" t="s">
        <v>851</v>
      </c>
      <c r="H652" s="2" t="s">
        <v>845</v>
      </c>
      <c r="I652" s="2" t="s">
        <v>40</v>
      </c>
      <c r="J652" s="1">
        <v>0.0</v>
      </c>
      <c r="K652" s="1">
        <v>0.0</v>
      </c>
      <c r="L652" s="2" t="s">
        <v>41</v>
      </c>
      <c r="M652" s="2" t="s">
        <v>20</v>
      </c>
      <c r="N652" s="2">
        <v>1.0</v>
      </c>
      <c r="P652" s="8">
        <f t="shared" si="1"/>
        <v>34721</v>
      </c>
    </row>
    <row r="653" ht="15.75" customHeight="1">
      <c r="A653" s="2">
        <v>1995.0</v>
      </c>
      <c r="B653" s="2">
        <v>1995.0</v>
      </c>
      <c r="C653" s="2">
        <v>1.0</v>
      </c>
      <c r="D653" s="2">
        <v>21.0</v>
      </c>
      <c r="E653" s="2" t="s">
        <v>852</v>
      </c>
      <c r="H653" s="2" t="s">
        <v>17</v>
      </c>
      <c r="I653" s="2" t="s">
        <v>35</v>
      </c>
      <c r="J653" s="1">
        <v>0.0</v>
      </c>
      <c r="K653" s="1">
        <v>0.0</v>
      </c>
      <c r="L653" s="2" t="s">
        <v>45</v>
      </c>
      <c r="N653" s="2">
        <v>1.0</v>
      </c>
      <c r="P653" s="8">
        <f t="shared" si="1"/>
        <v>34720</v>
      </c>
    </row>
    <row r="654" ht="15.75" customHeight="1">
      <c r="A654" s="2">
        <v>1995.0</v>
      </c>
      <c r="B654" s="2">
        <v>1995.0</v>
      </c>
      <c r="C654" s="2">
        <v>1.0</v>
      </c>
      <c r="D654" s="2">
        <v>14.0</v>
      </c>
      <c r="E654" s="2" t="s">
        <v>853</v>
      </c>
      <c r="H654" s="2" t="s">
        <v>17</v>
      </c>
      <c r="I654" s="2" t="s">
        <v>35</v>
      </c>
      <c r="J654" s="1">
        <v>0.0</v>
      </c>
      <c r="K654" s="1">
        <v>0.0</v>
      </c>
      <c r="L654" s="2" t="s">
        <v>24</v>
      </c>
      <c r="M654" s="2" t="s">
        <v>25</v>
      </c>
      <c r="N654" s="2">
        <v>1.0</v>
      </c>
      <c r="P654" s="8">
        <f t="shared" si="1"/>
        <v>34713</v>
      </c>
    </row>
    <row r="655" ht="15.75" customHeight="1">
      <c r="A655" s="2">
        <v>1995.0</v>
      </c>
      <c r="B655" s="2">
        <v>1995.0</v>
      </c>
      <c r="C655" s="2">
        <v>1.0</v>
      </c>
      <c r="D655" s="2">
        <v>7.0</v>
      </c>
      <c r="E655" s="2" t="s">
        <v>854</v>
      </c>
      <c r="H655" s="2" t="s">
        <v>17</v>
      </c>
      <c r="I655" s="2" t="s">
        <v>40</v>
      </c>
      <c r="J655" s="1">
        <v>0.0</v>
      </c>
      <c r="K655" s="1">
        <v>0.0</v>
      </c>
      <c r="L655" s="2" t="s">
        <v>45</v>
      </c>
      <c r="N655" s="2">
        <v>2.0</v>
      </c>
      <c r="P655" s="8">
        <f t="shared" si="1"/>
        <v>34706</v>
      </c>
    </row>
    <row r="656" ht="15.75" customHeight="1">
      <c r="A656" s="2">
        <v>1995.0</v>
      </c>
      <c r="B656" s="2">
        <v>1994.0</v>
      </c>
      <c r="C656" s="2">
        <v>12.0</v>
      </c>
      <c r="D656" s="2">
        <v>17.0</v>
      </c>
      <c r="E656" s="2" t="s">
        <v>855</v>
      </c>
      <c r="H656" s="2" t="s">
        <v>196</v>
      </c>
      <c r="I656" s="2" t="s">
        <v>77</v>
      </c>
      <c r="J656" s="1">
        <v>0.0</v>
      </c>
      <c r="K656" s="1">
        <v>0.0</v>
      </c>
      <c r="L656" s="2" t="s">
        <v>384</v>
      </c>
      <c r="N656" s="2">
        <v>1.0</v>
      </c>
      <c r="P656" s="8">
        <f t="shared" si="1"/>
        <v>34685</v>
      </c>
    </row>
    <row r="657" ht="15.75" customHeight="1">
      <c r="A657" s="2">
        <v>1995.0</v>
      </c>
      <c r="B657" s="2">
        <v>1994.0</v>
      </c>
      <c r="C657" s="2">
        <v>11.0</v>
      </c>
      <c r="D657" s="2">
        <v>6.0</v>
      </c>
      <c r="E657" s="2" t="s">
        <v>775</v>
      </c>
      <c r="H657" s="2" t="s">
        <v>17</v>
      </c>
      <c r="I657" s="2" t="s">
        <v>40</v>
      </c>
      <c r="J657" s="1">
        <v>0.0</v>
      </c>
      <c r="K657" s="1">
        <v>0.0</v>
      </c>
      <c r="L657" s="2" t="s">
        <v>24</v>
      </c>
      <c r="M657" s="2" t="s">
        <v>25</v>
      </c>
      <c r="N657" s="2">
        <v>1.0</v>
      </c>
      <c r="P657" s="8">
        <f t="shared" si="1"/>
        <v>34644</v>
      </c>
    </row>
    <row r="658" ht="15.75" customHeight="1">
      <c r="A658" s="2">
        <v>1995.0</v>
      </c>
      <c r="B658" s="2">
        <v>1994.0</v>
      </c>
      <c r="C658" s="2">
        <v>11.0</v>
      </c>
      <c r="D658" s="2">
        <v>2.0</v>
      </c>
      <c r="E658" s="2" t="s">
        <v>674</v>
      </c>
      <c r="H658" s="2" t="s">
        <v>17</v>
      </c>
      <c r="I658" s="2" t="s">
        <v>28</v>
      </c>
      <c r="J658" s="1">
        <v>0.0</v>
      </c>
      <c r="K658" s="1">
        <v>0.0</v>
      </c>
      <c r="L658" s="2" t="s">
        <v>24</v>
      </c>
      <c r="M658" s="2" t="s">
        <v>25</v>
      </c>
      <c r="N658" s="2">
        <v>1.0</v>
      </c>
      <c r="P658" s="8">
        <f t="shared" si="1"/>
        <v>34640</v>
      </c>
    </row>
    <row r="659" ht="15.75" customHeight="1">
      <c r="A659" s="2">
        <v>1995.0</v>
      </c>
      <c r="B659" s="2">
        <v>1994.0</v>
      </c>
      <c r="C659" s="2">
        <v>10.0</v>
      </c>
      <c r="D659" s="2">
        <v>16.0</v>
      </c>
      <c r="E659" s="2" t="s">
        <v>856</v>
      </c>
      <c r="H659" s="2" t="s">
        <v>17</v>
      </c>
      <c r="I659" s="2" t="s">
        <v>35</v>
      </c>
      <c r="J659" s="1">
        <v>0.0</v>
      </c>
      <c r="K659" s="1">
        <v>0.0</v>
      </c>
      <c r="L659" s="2" t="s">
        <v>29</v>
      </c>
      <c r="N659" s="2">
        <v>2.0</v>
      </c>
      <c r="P659" s="8">
        <f t="shared" si="1"/>
        <v>34623</v>
      </c>
    </row>
    <row r="660" ht="15.75" customHeight="1">
      <c r="A660" s="2">
        <v>1994.0</v>
      </c>
      <c r="B660" s="2">
        <v>1994.0</v>
      </c>
      <c r="C660" s="2">
        <v>7.0</v>
      </c>
      <c r="D660" s="2">
        <v>23.0</v>
      </c>
      <c r="E660" s="2" t="s">
        <v>777</v>
      </c>
      <c r="H660" s="2" t="s">
        <v>17</v>
      </c>
      <c r="I660" s="2" t="s">
        <v>59</v>
      </c>
      <c r="J660" s="1">
        <v>0.0</v>
      </c>
      <c r="K660" s="1">
        <v>0.0</v>
      </c>
      <c r="L660" s="2" t="s">
        <v>29</v>
      </c>
      <c r="N660" s="2">
        <v>2.0</v>
      </c>
      <c r="P660" s="8">
        <f t="shared" si="1"/>
        <v>34538</v>
      </c>
    </row>
    <row r="661" ht="15.75" customHeight="1">
      <c r="A661" s="2">
        <v>1994.0</v>
      </c>
      <c r="B661" s="2">
        <v>1994.0</v>
      </c>
      <c r="C661" s="2">
        <v>4.0</v>
      </c>
      <c r="D661" s="2">
        <v>9.0</v>
      </c>
      <c r="E661" s="2" t="s">
        <v>857</v>
      </c>
      <c r="H661" s="2" t="s">
        <v>17</v>
      </c>
      <c r="I661" s="2" t="s">
        <v>35</v>
      </c>
      <c r="J661" s="1">
        <v>0.0</v>
      </c>
      <c r="K661" s="1">
        <v>0.0</v>
      </c>
      <c r="L661" s="2" t="s">
        <v>24</v>
      </c>
      <c r="M661" s="2" t="s">
        <v>25</v>
      </c>
      <c r="N661" s="2">
        <v>1.0</v>
      </c>
      <c r="P661" s="8">
        <f t="shared" si="1"/>
        <v>34433</v>
      </c>
    </row>
    <row r="662" ht="15.75" customHeight="1">
      <c r="A662" s="2">
        <v>1994.0</v>
      </c>
      <c r="B662" s="2">
        <v>1994.0</v>
      </c>
      <c r="C662" s="2">
        <v>3.0</v>
      </c>
      <c r="D662" s="2">
        <v>28.0</v>
      </c>
      <c r="E662" s="2" t="s">
        <v>858</v>
      </c>
      <c r="H662" s="9" t="s">
        <v>17</v>
      </c>
      <c r="I662" s="2" t="s">
        <v>28</v>
      </c>
      <c r="J662" s="1">
        <v>0.0</v>
      </c>
      <c r="K662" s="1">
        <v>0.0</v>
      </c>
      <c r="L662" s="2" t="s">
        <v>45</v>
      </c>
      <c r="N662" s="2">
        <v>1.0</v>
      </c>
      <c r="P662" s="8">
        <f t="shared" si="1"/>
        <v>34421</v>
      </c>
    </row>
    <row r="663" ht="15.75" customHeight="1">
      <c r="A663" s="2">
        <v>1994.0</v>
      </c>
      <c r="B663" s="2">
        <v>1994.0</v>
      </c>
      <c r="C663" s="2">
        <v>3.0</v>
      </c>
      <c r="D663" s="2">
        <v>27.0</v>
      </c>
      <c r="E663" s="2" t="s">
        <v>859</v>
      </c>
      <c r="H663" s="2" t="s">
        <v>17</v>
      </c>
      <c r="I663" s="2" t="s">
        <v>28</v>
      </c>
      <c r="J663" s="1">
        <v>0.0</v>
      </c>
      <c r="K663" s="1">
        <v>0.0</v>
      </c>
      <c r="L663" s="2" t="s">
        <v>45</v>
      </c>
      <c r="N663" s="2">
        <v>1.0</v>
      </c>
      <c r="P663" s="8">
        <f t="shared" si="1"/>
        <v>34420</v>
      </c>
    </row>
    <row r="664" ht="15.75" customHeight="1">
      <c r="A664" s="2">
        <v>1994.0</v>
      </c>
      <c r="B664" s="2">
        <v>1994.0</v>
      </c>
      <c r="C664" s="2">
        <v>2.0</v>
      </c>
      <c r="D664" s="2">
        <v>25.0</v>
      </c>
      <c r="E664" s="2" t="s">
        <v>860</v>
      </c>
      <c r="H664" s="2" t="s">
        <v>17</v>
      </c>
      <c r="I664" s="2" t="s">
        <v>74</v>
      </c>
      <c r="J664" s="1">
        <v>0.0</v>
      </c>
      <c r="K664" s="1">
        <v>0.0</v>
      </c>
      <c r="L664" s="2" t="s">
        <v>45</v>
      </c>
      <c r="N664" s="2">
        <v>1.0</v>
      </c>
      <c r="P664" s="8">
        <f t="shared" si="1"/>
        <v>34390</v>
      </c>
    </row>
    <row r="665" ht="15.75" customHeight="1">
      <c r="A665" s="2">
        <v>1994.0</v>
      </c>
      <c r="B665" s="2">
        <v>1994.0</v>
      </c>
      <c r="C665" s="2">
        <v>2.0</v>
      </c>
      <c r="D665" s="2">
        <v>18.0</v>
      </c>
      <c r="E665" s="2" t="s">
        <v>861</v>
      </c>
      <c r="H665" s="2" t="s">
        <v>17</v>
      </c>
      <c r="I665" s="2" t="s">
        <v>40</v>
      </c>
      <c r="J665" s="1">
        <v>0.0</v>
      </c>
      <c r="K665" s="1">
        <v>0.0</v>
      </c>
      <c r="L665" s="2" t="s">
        <v>24</v>
      </c>
      <c r="M665" s="2" t="s">
        <v>25</v>
      </c>
      <c r="N665" s="2">
        <v>1.0</v>
      </c>
      <c r="P665" s="8">
        <f t="shared" si="1"/>
        <v>34383</v>
      </c>
    </row>
    <row r="666" ht="15.75" customHeight="1">
      <c r="A666" s="2">
        <v>1994.0</v>
      </c>
      <c r="B666" s="2">
        <v>1994.0</v>
      </c>
      <c r="C666" s="2">
        <v>1.0</v>
      </c>
      <c r="D666" s="2">
        <v>8.0</v>
      </c>
      <c r="E666" s="2" t="s">
        <v>789</v>
      </c>
      <c r="H666" s="2" t="s">
        <v>17</v>
      </c>
      <c r="I666" s="2" t="s">
        <v>85</v>
      </c>
      <c r="J666" s="1">
        <v>0.0</v>
      </c>
      <c r="K666" s="1">
        <v>0.0</v>
      </c>
      <c r="L666" s="2" t="s">
        <v>45</v>
      </c>
      <c r="N666" s="2">
        <v>1.0</v>
      </c>
      <c r="P666" s="8">
        <f t="shared" si="1"/>
        <v>34342</v>
      </c>
    </row>
    <row r="667" ht="15.75" customHeight="1">
      <c r="A667" s="2">
        <v>1994.0</v>
      </c>
      <c r="B667" s="2">
        <v>1993.0</v>
      </c>
      <c r="C667" s="2">
        <v>12.0</v>
      </c>
      <c r="D667" s="2">
        <v>31.0</v>
      </c>
      <c r="E667" s="2" t="s">
        <v>862</v>
      </c>
      <c r="H667" s="2" t="s">
        <v>17</v>
      </c>
      <c r="I667" s="2" t="s">
        <v>85</v>
      </c>
      <c r="J667" s="1">
        <v>0.0</v>
      </c>
      <c r="K667" s="1">
        <v>0.0</v>
      </c>
      <c r="L667" s="2" t="s">
        <v>45</v>
      </c>
      <c r="N667" s="2">
        <v>5.0</v>
      </c>
      <c r="P667" s="8">
        <f t="shared" si="1"/>
        <v>34334</v>
      </c>
    </row>
    <row r="668" ht="15.75" customHeight="1">
      <c r="A668" s="2">
        <v>1993.0</v>
      </c>
      <c r="B668" s="2">
        <v>1993.0</v>
      </c>
      <c r="C668" s="2">
        <v>8.0</v>
      </c>
      <c r="D668" s="2">
        <v>15.0</v>
      </c>
      <c r="E668" s="2" t="s">
        <v>863</v>
      </c>
      <c r="H668" s="2" t="s">
        <v>17</v>
      </c>
      <c r="I668" s="2" t="s">
        <v>28</v>
      </c>
      <c r="J668" s="1">
        <v>0.0</v>
      </c>
      <c r="K668" s="1">
        <v>0.0</v>
      </c>
      <c r="L668" s="2" t="s">
        <v>738</v>
      </c>
      <c r="N668" s="2">
        <v>1.0</v>
      </c>
      <c r="P668" s="8">
        <f t="shared" si="1"/>
        <v>34196</v>
      </c>
    </row>
    <row r="669" ht="15.75" customHeight="1">
      <c r="A669" s="2">
        <v>1993.0</v>
      </c>
      <c r="B669" s="2">
        <v>1993.0</v>
      </c>
      <c r="C669" s="2">
        <v>6.0</v>
      </c>
      <c r="D669" s="2">
        <v>17.0</v>
      </c>
      <c r="E669" s="2" t="s">
        <v>864</v>
      </c>
      <c r="H669" s="2" t="s">
        <v>17</v>
      </c>
      <c r="I669" s="2" t="s">
        <v>28</v>
      </c>
      <c r="J669" s="1">
        <v>0.0</v>
      </c>
      <c r="K669" s="1">
        <v>0.0</v>
      </c>
      <c r="L669" s="2" t="s">
        <v>811</v>
      </c>
      <c r="N669" s="2">
        <v>1.0</v>
      </c>
      <c r="P669" s="8">
        <f t="shared" si="1"/>
        <v>34137</v>
      </c>
    </row>
    <row r="670" ht="15.75" customHeight="1">
      <c r="A670" s="2">
        <v>1993.0</v>
      </c>
      <c r="B670" s="2">
        <v>1993.0</v>
      </c>
      <c r="C670" s="2">
        <v>4.0</v>
      </c>
      <c r="D670" s="2">
        <v>9.0</v>
      </c>
      <c r="E670" s="2" t="s">
        <v>865</v>
      </c>
      <c r="H670" s="2" t="s">
        <v>17</v>
      </c>
      <c r="I670" s="2" t="s">
        <v>35</v>
      </c>
      <c r="J670" s="1">
        <v>0.0</v>
      </c>
      <c r="K670" s="1">
        <v>0.0</v>
      </c>
      <c r="L670" s="2" t="s">
        <v>24</v>
      </c>
      <c r="M670" s="2" t="s">
        <v>25</v>
      </c>
      <c r="N670" s="2">
        <v>2.0</v>
      </c>
      <c r="P670" s="8">
        <f t="shared" si="1"/>
        <v>34068</v>
      </c>
    </row>
    <row r="671" ht="15.75" customHeight="1">
      <c r="A671" s="2">
        <v>1993.0</v>
      </c>
      <c r="B671" s="2">
        <v>1993.0</v>
      </c>
      <c r="C671" s="2">
        <v>4.0</v>
      </c>
      <c r="D671" s="2">
        <v>8.0</v>
      </c>
      <c r="E671" s="2" t="s">
        <v>866</v>
      </c>
      <c r="H671" s="2" t="s">
        <v>17</v>
      </c>
      <c r="I671" s="2" t="s">
        <v>40</v>
      </c>
      <c r="J671" s="1">
        <v>0.0</v>
      </c>
      <c r="K671" s="1">
        <v>0.0</v>
      </c>
      <c r="L671" s="2" t="s">
        <v>24</v>
      </c>
      <c r="M671" s="2" t="s">
        <v>25</v>
      </c>
      <c r="N671" s="2">
        <v>1.0</v>
      </c>
      <c r="P671" s="8">
        <f t="shared" si="1"/>
        <v>34067</v>
      </c>
    </row>
    <row r="672" ht="15.75" customHeight="1">
      <c r="A672" s="2">
        <v>1993.0</v>
      </c>
      <c r="B672" s="2">
        <v>1993.0</v>
      </c>
      <c r="C672" s="2">
        <v>4.0</v>
      </c>
      <c r="D672" s="2">
        <v>8.0</v>
      </c>
      <c r="E672" s="2" t="s">
        <v>867</v>
      </c>
      <c r="H672" s="2" t="s">
        <v>196</v>
      </c>
      <c r="I672" s="2" t="s">
        <v>35</v>
      </c>
      <c r="J672" s="1">
        <v>0.0</v>
      </c>
      <c r="K672" s="1">
        <v>0.0</v>
      </c>
      <c r="L672" s="2" t="s">
        <v>384</v>
      </c>
      <c r="N672" s="2">
        <v>1.0</v>
      </c>
      <c r="P672" s="8">
        <f t="shared" si="1"/>
        <v>34067</v>
      </c>
    </row>
    <row r="673" ht="15.75" customHeight="1">
      <c r="A673" s="2">
        <v>1993.0</v>
      </c>
      <c r="B673" s="2">
        <v>1993.0</v>
      </c>
      <c r="C673" s="2">
        <v>4.0</v>
      </c>
      <c r="D673" s="2">
        <v>3.0</v>
      </c>
      <c r="E673" s="2" t="s">
        <v>868</v>
      </c>
      <c r="H673" s="2" t="s">
        <v>17</v>
      </c>
      <c r="I673" s="2" t="s">
        <v>28</v>
      </c>
      <c r="J673" s="1">
        <v>0.0</v>
      </c>
      <c r="K673" s="1">
        <v>0.0</v>
      </c>
      <c r="L673" s="2" t="s">
        <v>24</v>
      </c>
      <c r="M673" s="2" t="s">
        <v>25</v>
      </c>
      <c r="N673" s="2">
        <v>1.0</v>
      </c>
      <c r="P673" s="8">
        <f t="shared" si="1"/>
        <v>34062</v>
      </c>
    </row>
    <row r="674" ht="15.75" customHeight="1">
      <c r="A674" s="2">
        <v>1993.0</v>
      </c>
      <c r="B674" s="2">
        <v>1993.0</v>
      </c>
      <c r="C674" s="2">
        <v>4.0</v>
      </c>
      <c r="D674" s="2">
        <v>3.0</v>
      </c>
      <c r="E674" s="2" t="s">
        <v>801</v>
      </c>
      <c r="H674" s="2" t="s">
        <v>17</v>
      </c>
      <c r="I674" s="2" t="s">
        <v>28</v>
      </c>
      <c r="J674" s="1">
        <v>0.0</v>
      </c>
      <c r="K674" s="1">
        <v>0.0</v>
      </c>
      <c r="L674" s="2" t="s">
        <v>45</v>
      </c>
      <c r="N674" s="2">
        <v>1.0</v>
      </c>
      <c r="P674" s="8">
        <f t="shared" si="1"/>
        <v>34062</v>
      </c>
    </row>
    <row r="675" ht="15.75" customHeight="1">
      <c r="A675" s="2">
        <v>1993.0</v>
      </c>
      <c r="B675" s="2">
        <v>1993.0</v>
      </c>
      <c r="C675" s="2">
        <v>3.0</v>
      </c>
      <c r="D675" s="2">
        <v>18.0</v>
      </c>
      <c r="E675" s="2" t="s">
        <v>869</v>
      </c>
      <c r="H675" s="2" t="s">
        <v>749</v>
      </c>
      <c r="I675" s="2" t="s">
        <v>746</v>
      </c>
      <c r="J675" s="1">
        <v>0.0</v>
      </c>
      <c r="K675" s="1">
        <v>0.0</v>
      </c>
      <c r="L675" s="2" t="s">
        <v>870</v>
      </c>
      <c r="N675" s="2">
        <v>1.0</v>
      </c>
      <c r="P675" s="8">
        <f t="shared" si="1"/>
        <v>34046</v>
      </c>
    </row>
    <row r="676" ht="15.75" customHeight="1">
      <c r="A676" s="2">
        <v>1993.0</v>
      </c>
      <c r="B676" s="2">
        <v>1993.0</v>
      </c>
      <c r="C676" s="2">
        <v>2.0</v>
      </c>
      <c r="D676" s="2">
        <v>25.0</v>
      </c>
      <c r="E676" s="2" t="s">
        <v>871</v>
      </c>
      <c r="H676" s="2" t="s">
        <v>17</v>
      </c>
      <c r="I676" s="2" t="s">
        <v>40</v>
      </c>
      <c r="J676" s="1">
        <v>0.0</v>
      </c>
      <c r="K676" s="1">
        <v>0.0</v>
      </c>
      <c r="L676" s="2" t="s">
        <v>24</v>
      </c>
      <c r="M676" s="2" t="s">
        <v>25</v>
      </c>
      <c r="N676" s="2">
        <v>1.0</v>
      </c>
      <c r="P676" s="8">
        <f t="shared" si="1"/>
        <v>34025</v>
      </c>
    </row>
    <row r="677" ht="15.75" customHeight="1">
      <c r="A677" s="2">
        <v>1993.0</v>
      </c>
      <c r="B677" s="2">
        <v>1993.0</v>
      </c>
      <c r="C677" s="2">
        <v>2.0</v>
      </c>
      <c r="D677" s="2">
        <v>22.0</v>
      </c>
      <c r="E677" s="2" t="s">
        <v>872</v>
      </c>
      <c r="H677" s="2" t="s">
        <v>17</v>
      </c>
      <c r="I677" s="2" t="s">
        <v>59</v>
      </c>
      <c r="J677" s="1">
        <v>0.0</v>
      </c>
      <c r="K677" s="1">
        <v>0.0</v>
      </c>
      <c r="L677" s="2" t="s">
        <v>24</v>
      </c>
      <c r="M677" s="2" t="s">
        <v>60</v>
      </c>
      <c r="N677" s="2">
        <v>1.0</v>
      </c>
      <c r="P677" s="8">
        <f t="shared" si="1"/>
        <v>34022</v>
      </c>
    </row>
    <row r="678" ht="15.75" customHeight="1">
      <c r="A678" s="2">
        <v>1993.0</v>
      </c>
      <c r="B678" s="2">
        <v>1993.0</v>
      </c>
      <c r="C678" s="2">
        <v>2.0</v>
      </c>
      <c r="D678" s="2">
        <v>22.0</v>
      </c>
      <c r="E678" s="2" t="s">
        <v>873</v>
      </c>
      <c r="H678" s="2" t="s">
        <v>17</v>
      </c>
      <c r="I678" s="2" t="s">
        <v>49</v>
      </c>
      <c r="J678" s="1">
        <v>0.0</v>
      </c>
      <c r="K678" s="1">
        <v>0.0</v>
      </c>
      <c r="L678" s="2" t="s">
        <v>45</v>
      </c>
      <c r="N678" s="2">
        <v>1.0</v>
      </c>
      <c r="P678" s="8">
        <f t="shared" si="1"/>
        <v>34022</v>
      </c>
    </row>
    <row r="679" ht="15.75" customHeight="1">
      <c r="A679" s="2">
        <v>1993.0</v>
      </c>
      <c r="B679" s="2">
        <v>1993.0</v>
      </c>
      <c r="C679" s="2">
        <v>2.0</v>
      </c>
      <c r="D679" s="2">
        <v>13.0</v>
      </c>
      <c r="E679" s="2" t="s">
        <v>615</v>
      </c>
      <c r="H679" s="2" t="s">
        <v>196</v>
      </c>
      <c r="I679" s="2" t="s">
        <v>35</v>
      </c>
      <c r="J679" s="1">
        <v>0.0</v>
      </c>
      <c r="K679" s="1">
        <v>0.0</v>
      </c>
      <c r="L679" s="2" t="s">
        <v>51</v>
      </c>
      <c r="M679" s="2" t="s">
        <v>25</v>
      </c>
      <c r="N679" s="2">
        <v>1.0</v>
      </c>
      <c r="P679" s="8">
        <f t="shared" si="1"/>
        <v>34013</v>
      </c>
    </row>
    <row r="680" ht="15.75" customHeight="1">
      <c r="A680" s="2">
        <v>1993.0</v>
      </c>
      <c r="B680" s="2">
        <v>1993.0</v>
      </c>
      <c r="C680" s="2">
        <v>1.0</v>
      </c>
      <c r="D680" s="2">
        <v>26.0</v>
      </c>
      <c r="E680" s="2" t="s">
        <v>874</v>
      </c>
      <c r="H680" s="2" t="s">
        <v>17</v>
      </c>
      <c r="I680" s="2" t="s">
        <v>35</v>
      </c>
      <c r="J680" s="1">
        <v>0.0</v>
      </c>
      <c r="K680" s="1">
        <v>0.0</v>
      </c>
      <c r="L680" s="2" t="s">
        <v>29</v>
      </c>
      <c r="N680" s="2">
        <v>1.0</v>
      </c>
      <c r="P680" s="8">
        <f t="shared" si="1"/>
        <v>33995</v>
      </c>
    </row>
    <row r="681" ht="15.75" customHeight="1">
      <c r="A681" s="2">
        <v>1993.0</v>
      </c>
      <c r="B681" s="2">
        <v>1993.0</v>
      </c>
      <c r="C681" s="2">
        <v>1.0</v>
      </c>
      <c r="D681" s="2">
        <v>22.0</v>
      </c>
      <c r="E681" s="2" t="s">
        <v>875</v>
      </c>
      <c r="H681" s="2" t="s">
        <v>17</v>
      </c>
      <c r="I681" s="2" t="s">
        <v>35</v>
      </c>
      <c r="J681" s="1">
        <v>0.0</v>
      </c>
      <c r="K681" s="1">
        <v>0.0</v>
      </c>
      <c r="L681" s="2" t="s">
        <v>51</v>
      </c>
      <c r="M681" s="2" t="s">
        <v>25</v>
      </c>
      <c r="N681" s="2">
        <v>1.0</v>
      </c>
      <c r="P681" s="8">
        <f t="shared" si="1"/>
        <v>33991</v>
      </c>
    </row>
    <row r="682" ht="15.75" customHeight="1">
      <c r="A682" s="2">
        <v>1993.0</v>
      </c>
      <c r="B682" s="2">
        <v>1993.0</v>
      </c>
      <c r="C682" s="2">
        <v>1.0</v>
      </c>
      <c r="D682" s="2">
        <v>16.0</v>
      </c>
      <c r="E682" s="2" t="s">
        <v>876</v>
      </c>
      <c r="H682" s="2" t="s">
        <v>196</v>
      </c>
      <c r="I682" s="2" t="s">
        <v>40</v>
      </c>
      <c r="J682" s="1">
        <v>0.0</v>
      </c>
      <c r="K682" s="1">
        <v>0.0</v>
      </c>
      <c r="L682" s="2" t="s">
        <v>51</v>
      </c>
      <c r="M682" s="2" t="s">
        <v>25</v>
      </c>
      <c r="N682" s="2">
        <v>1.0</v>
      </c>
      <c r="P682" s="8">
        <f t="shared" si="1"/>
        <v>33985</v>
      </c>
    </row>
    <row r="683" ht="15.75" customHeight="1">
      <c r="A683" s="2">
        <v>1993.0</v>
      </c>
      <c r="B683" s="2">
        <v>1993.0</v>
      </c>
      <c r="C683" s="2">
        <v>1.0</v>
      </c>
      <c r="D683" s="2">
        <v>13.0</v>
      </c>
      <c r="E683" s="2" t="s">
        <v>877</v>
      </c>
      <c r="H683" s="2" t="s">
        <v>196</v>
      </c>
      <c r="I683" s="2" t="s">
        <v>35</v>
      </c>
      <c r="J683" s="1">
        <v>0.0</v>
      </c>
      <c r="K683" s="1">
        <v>0.0</v>
      </c>
      <c r="L683" s="2" t="s">
        <v>197</v>
      </c>
      <c r="M683" s="2" t="s">
        <v>60</v>
      </c>
      <c r="N683" s="2">
        <v>1.0</v>
      </c>
      <c r="P683" s="8">
        <f t="shared" si="1"/>
        <v>33982</v>
      </c>
    </row>
    <row r="684" ht="15.75" customHeight="1">
      <c r="A684" s="2">
        <v>1993.0</v>
      </c>
      <c r="B684" s="2">
        <v>1993.0</v>
      </c>
      <c r="C684" s="2">
        <v>1.0</v>
      </c>
      <c r="D684" s="2">
        <v>12.0</v>
      </c>
      <c r="E684" s="2" t="s">
        <v>878</v>
      </c>
      <c r="H684" s="2" t="s">
        <v>17</v>
      </c>
      <c r="I684" s="2" t="s">
        <v>35</v>
      </c>
      <c r="J684" s="1">
        <v>0.0</v>
      </c>
      <c r="K684" s="1">
        <v>0.0</v>
      </c>
      <c r="L684" s="2" t="s">
        <v>51</v>
      </c>
      <c r="M684" s="2" t="s">
        <v>25</v>
      </c>
      <c r="N684" s="2">
        <v>1.0</v>
      </c>
      <c r="P684" s="8">
        <f t="shared" si="1"/>
        <v>33981</v>
      </c>
    </row>
    <row r="685" ht="15.75" customHeight="1">
      <c r="A685" s="2">
        <v>1993.0</v>
      </c>
      <c r="B685" s="2">
        <v>1993.0</v>
      </c>
      <c r="C685" s="2">
        <v>1.0</v>
      </c>
      <c r="D685" s="2">
        <v>9.0</v>
      </c>
      <c r="E685" s="2" t="s">
        <v>756</v>
      </c>
      <c r="H685" s="2" t="s">
        <v>17</v>
      </c>
      <c r="I685" s="2" t="s">
        <v>35</v>
      </c>
      <c r="J685" s="1">
        <v>0.0</v>
      </c>
      <c r="K685" s="1">
        <v>0.0</v>
      </c>
      <c r="L685" s="2" t="s">
        <v>24</v>
      </c>
      <c r="M685" s="2" t="s">
        <v>25</v>
      </c>
      <c r="N685" s="2">
        <v>1.0</v>
      </c>
      <c r="P685" s="8">
        <f t="shared" si="1"/>
        <v>33978</v>
      </c>
    </row>
    <row r="686" ht="15.75" customHeight="1">
      <c r="A686" s="2">
        <v>1993.0</v>
      </c>
      <c r="B686" s="2">
        <v>1993.0</v>
      </c>
      <c r="C686" s="2">
        <v>1.0</v>
      </c>
      <c r="D686" s="2">
        <v>9.0</v>
      </c>
      <c r="E686" s="2" t="s">
        <v>879</v>
      </c>
      <c r="H686" s="2" t="s">
        <v>17</v>
      </c>
      <c r="I686" s="2" t="s">
        <v>85</v>
      </c>
      <c r="J686" s="1">
        <v>0.0</v>
      </c>
      <c r="K686" s="1">
        <v>0.0</v>
      </c>
      <c r="L686" s="2" t="s">
        <v>19</v>
      </c>
      <c r="N686" s="2">
        <v>1.0</v>
      </c>
      <c r="P686" s="8">
        <f t="shared" si="1"/>
        <v>33978</v>
      </c>
    </row>
    <row r="687" ht="15.75" customHeight="1">
      <c r="A687" s="2">
        <v>1993.0</v>
      </c>
      <c r="B687" s="2">
        <v>1992.0</v>
      </c>
      <c r="C687" s="2">
        <v>12.0</v>
      </c>
      <c r="D687" s="2">
        <v>30.0</v>
      </c>
      <c r="E687" s="2" t="s">
        <v>880</v>
      </c>
      <c r="H687" s="2" t="s">
        <v>39</v>
      </c>
      <c r="I687" s="2" t="s">
        <v>18</v>
      </c>
      <c r="J687" s="1">
        <v>0.0</v>
      </c>
      <c r="K687" s="1">
        <v>0.0</v>
      </c>
      <c r="L687" s="2" t="s">
        <v>402</v>
      </c>
      <c r="M687" s="2" t="s">
        <v>60</v>
      </c>
      <c r="N687" s="2">
        <v>1.0</v>
      </c>
      <c r="P687" s="8">
        <f t="shared" si="1"/>
        <v>33968</v>
      </c>
    </row>
    <row r="688" ht="15.75" customHeight="1">
      <c r="A688" s="2">
        <v>1993.0</v>
      </c>
      <c r="B688" s="2">
        <v>1992.0</v>
      </c>
      <c r="C688" s="2">
        <v>12.0</v>
      </c>
      <c r="D688" s="2">
        <v>28.0</v>
      </c>
      <c r="E688" s="2" t="s">
        <v>771</v>
      </c>
      <c r="H688" s="2" t="s">
        <v>17</v>
      </c>
      <c r="I688" s="2" t="s">
        <v>74</v>
      </c>
      <c r="J688" s="1">
        <v>0.0</v>
      </c>
      <c r="K688" s="1">
        <v>0.0</v>
      </c>
      <c r="L688" s="2" t="s">
        <v>24</v>
      </c>
      <c r="M688" s="2" t="s">
        <v>25</v>
      </c>
      <c r="N688" s="2">
        <v>1.0</v>
      </c>
      <c r="P688" s="8">
        <f t="shared" si="1"/>
        <v>33966</v>
      </c>
    </row>
    <row r="689" ht="15.75" customHeight="1">
      <c r="A689" s="2">
        <v>1993.0</v>
      </c>
      <c r="B689" s="2">
        <v>1992.0</v>
      </c>
      <c r="C689" s="2">
        <v>12.0</v>
      </c>
      <c r="D689" s="2">
        <v>21.0</v>
      </c>
      <c r="E689" s="2" t="s">
        <v>881</v>
      </c>
      <c r="H689" s="2" t="s">
        <v>17</v>
      </c>
      <c r="I689" s="2" t="s">
        <v>49</v>
      </c>
      <c r="J689" s="1">
        <v>0.0</v>
      </c>
      <c r="K689" s="1">
        <v>0.0</v>
      </c>
      <c r="L689" s="2" t="s">
        <v>652</v>
      </c>
      <c r="N689" s="2">
        <v>1.0</v>
      </c>
      <c r="P689" s="8">
        <f t="shared" si="1"/>
        <v>33959</v>
      </c>
    </row>
    <row r="690" ht="15.75" customHeight="1">
      <c r="A690" s="2">
        <v>1993.0</v>
      </c>
      <c r="B690" s="2">
        <v>1992.0</v>
      </c>
      <c r="C690" s="2">
        <v>12.0</v>
      </c>
      <c r="D690" s="2">
        <v>3.0</v>
      </c>
      <c r="E690" s="2" t="s">
        <v>819</v>
      </c>
      <c r="H690" s="2" t="s">
        <v>17</v>
      </c>
      <c r="I690" s="2" t="s">
        <v>35</v>
      </c>
      <c r="J690" s="1">
        <v>0.0</v>
      </c>
      <c r="K690" s="1">
        <v>0.0</v>
      </c>
      <c r="L690" s="2" t="s">
        <v>51</v>
      </c>
      <c r="M690" s="2" t="s">
        <v>25</v>
      </c>
      <c r="N690" s="2">
        <v>1.0</v>
      </c>
      <c r="P690" s="8">
        <f t="shared" si="1"/>
        <v>33941</v>
      </c>
    </row>
    <row r="691" ht="15.75" customHeight="1">
      <c r="A691" s="2">
        <v>1993.0</v>
      </c>
      <c r="B691" s="2">
        <v>1992.0</v>
      </c>
      <c r="C691" s="2">
        <v>11.0</v>
      </c>
      <c r="D691" s="2">
        <v>22.0</v>
      </c>
      <c r="E691" s="2" t="s">
        <v>882</v>
      </c>
      <c r="H691" s="2" t="s">
        <v>39</v>
      </c>
      <c r="I691" s="2" t="s">
        <v>28</v>
      </c>
      <c r="J691" s="1">
        <v>0.0</v>
      </c>
      <c r="K691" s="1">
        <v>0.0</v>
      </c>
      <c r="L691" s="2" t="s">
        <v>402</v>
      </c>
      <c r="N691" s="2">
        <v>1.0</v>
      </c>
      <c r="P691" s="8">
        <f t="shared" si="1"/>
        <v>33930</v>
      </c>
    </row>
    <row r="692" ht="15.75" customHeight="1">
      <c r="A692" s="2">
        <v>1993.0</v>
      </c>
      <c r="B692" s="2">
        <v>1992.0</v>
      </c>
      <c r="C692" s="2">
        <v>11.0</v>
      </c>
      <c r="D692" s="2">
        <v>8.0</v>
      </c>
      <c r="E692" s="2" t="s">
        <v>763</v>
      </c>
      <c r="H692" s="9" t="s">
        <v>17</v>
      </c>
      <c r="I692" s="2" t="s">
        <v>28</v>
      </c>
      <c r="J692" s="1">
        <v>0.0</v>
      </c>
      <c r="K692" s="1">
        <v>0.0</v>
      </c>
      <c r="L692" s="2" t="s">
        <v>24</v>
      </c>
      <c r="M692" s="2" t="s">
        <v>25</v>
      </c>
      <c r="N692" s="2">
        <v>2.0</v>
      </c>
      <c r="P692" s="8">
        <f t="shared" si="1"/>
        <v>33916</v>
      </c>
    </row>
    <row r="693" ht="15.75" customHeight="1">
      <c r="A693" s="2">
        <v>1993.0</v>
      </c>
      <c r="B693" s="2">
        <v>1992.0</v>
      </c>
      <c r="C693" s="2">
        <v>11.0</v>
      </c>
      <c r="D693" s="2">
        <v>1.0</v>
      </c>
      <c r="E693" s="2" t="s">
        <v>883</v>
      </c>
      <c r="H693" s="9" t="s">
        <v>17</v>
      </c>
      <c r="I693" s="2" t="s">
        <v>35</v>
      </c>
      <c r="J693" s="1">
        <v>0.0</v>
      </c>
      <c r="K693" s="1">
        <v>0.0</v>
      </c>
      <c r="L693" s="2" t="s">
        <v>29</v>
      </c>
      <c r="N693" s="2">
        <v>2.0</v>
      </c>
      <c r="P693" s="8">
        <f t="shared" si="1"/>
        <v>33909</v>
      </c>
    </row>
    <row r="694" ht="15.75" customHeight="1">
      <c r="A694" s="2">
        <v>1992.0</v>
      </c>
      <c r="B694" s="2">
        <v>1992.0</v>
      </c>
      <c r="C694" s="2">
        <v>6.0</v>
      </c>
      <c r="D694" s="2">
        <v>18.0</v>
      </c>
      <c r="E694" s="2" t="s">
        <v>687</v>
      </c>
      <c r="H694" s="9" t="s">
        <v>17</v>
      </c>
      <c r="I694" s="2" t="s">
        <v>28</v>
      </c>
      <c r="J694" s="1">
        <v>0.0</v>
      </c>
      <c r="K694" s="1">
        <v>0.0</v>
      </c>
      <c r="L694" s="2" t="s">
        <v>29</v>
      </c>
      <c r="N694" s="2">
        <v>2.0</v>
      </c>
      <c r="P694" s="8">
        <f t="shared" si="1"/>
        <v>33773</v>
      </c>
    </row>
    <row r="695" ht="15.75" customHeight="1">
      <c r="A695" s="2">
        <v>1992.0</v>
      </c>
      <c r="B695" s="2">
        <v>1992.0</v>
      </c>
      <c r="C695" s="2">
        <v>6.0</v>
      </c>
      <c r="D695" s="2">
        <v>13.0</v>
      </c>
      <c r="E695" s="2" t="s">
        <v>884</v>
      </c>
      <c r="H695" s="2" t="s">
        <v>17</v>
      </c>
      <c r="I695" s="2" t="s">
        <v>35</v>
      </c>
      <c r="J695" s="1">
        <v>0.0</v>
      </c>
      <c r="K695" s="1">
        <v>0.0</v>
      </c>
      <c r="L695" s="2" t="s">
        <v>29</v>
      </c>
      <c r="N695" s="2">
        <v>1.0</v>
      </c>
      <c r="P695" s="8">
        <f t="shared" si="1"/>
        <v>33768</v>
      </c>
    </row>
    <row r="696" ht="15.75" customHeight="1">
      <c r="A696" s="2">
        <v>1992.0</v>
      </c>
      <c r="B696" s="2">
        <v>1992.0</v>
      </c>
      <c r="C696" s="2">
        <v>6.0</v>
      </c>
      <c r="D696" s="2">
        <v>13.0</v>
      </c>
      <c r="E696" s="2" t="s">
        <v>885</v>
      </c>
      <c r="H696" s="2" t="s">
        <v>17</v>
      </c>
      <c r="I696" s="2" t="s">
        <v>35</v>
      </c>
      <c r="J696" s="1">
        <v>0.0</v>
      </c>
      <c r="K696" s="1">
        <v>0.0</v>
      </c>
      <c r="L696" s="2" t="s">
        <v>29</v>
      </c>
      <c r="N696" s="2">
        <v>2.0</v>
      </c>
      <c r="P696" s="8">
        <f t="shared" si="1"/>
        <v>33768</v>
      </c>
    </row>
    <row r="697" ht="15.75" customHeight="1">
      <c r="A697" s="2">
        <v>1992.0</v>
      </c>
      <c r="B697" s="2">
        <v>1992.0</v>
      </c>
      <c r="C697" s="2">
        <v>4.0</v>
      </c>
      <c r="D697" s="2">
        <v>1.0</v>
      </c>
      <c r="E697" s="2" t="s">
        <v>886</v>
      </c>
      <c r="H697" s="2" t="s">
        <v>17</v>
      </c>
      <c r="I697" s="2" t="s">
        <v>35</v>
      </c>
      <c r="J697" s="1">
        <v>0.0</v>
      </c>
      <c r="K697" s="1">
        <v>0.0</v>
      </c>
      <c r="L697" s="2" t="s">
        <v>24</v>
      </c>
      <c r="M697" s="2" t="s">
        <v>25</v>
      </c>
      <c r="N697" s="2">
        <v>1.0</v>
      </c>
      <c r="P697" s="8">
        <f t="shared" si="1"/>
        <v>33695</v>
      </c>
    </row>
    <row r="698" ht="15.75" customHeight="1">
      <c r="A698" s="2">
        <v>1992.0</v>
      </c>
      <c r="B698" s="2">
        <v>1992.0</v>
      </c>
      <c r="C698" s="2">
        <v>4.0</v>
      </c>
      <c r="D698" s="2">
        <v>1.0</v>
      </c>
      <c r="E698" s="2" t="s">
        <v>775</v>
      </c>
      <c r="H698" s="2" t="s">
        <v>17</v>
      </c>
      <c r="I698" s="2" t="s">
        <v>40</v>
      </c>
      <c r="J698" s="1">
        <v>0.0</v>
      </c>
      <c r="K698" s="1">
        <v>0.0</v>
      </c>
      <c r="L698" s="2" t="s">
        <v>51</v>
      </c>
      <c r="M698" s="2" t="s">
        <v>25</v>
      </c>
      <c r="N698" s="2">
        <v>1.0</v>
      </c>
      <c r="P698" s="8">
        <f t="shared" si="1"/>
        <v>33695</v>
      </c>
    </row>
    <row r="699" ht="15.75" customHeight="1">
      <c r="A699" s="2">
        <v>1992.0</v>
      </c>
      <c r="B699" s="2">
        <v>1992.0</v>
      </c>
      <c r="C699" s="2">
        <v>3.0</v>
      </c>
      <c r="D699" s="2">
        <v>29.0</v>
      </c>
      <c r="E699" s="2" t="s">
        <v>887</v>
      </c>
      <c r="H699" s="2" t="s">
        <v>17</v>
      </c>
      <c r="I699" s="2" t="s">
        <v>35</v>
      </c>
      <c r="J699" s="1">
        <v>0.0</v>
      </c>
      <c r="K699" s="1">
        <v>0.0</v>
      </c>
      <c r="L699" s="2" t="s">
        <v>425</v>
      </c>
      <c r="N699" s="2">
        <v>1.0</v>
      </c>
      <c r="P699" s="8">
        <f t="shared" si="1"/>
        <v>33692</v>
      </c>
    </row>
    <row r="700" ht="15.75" customHeight="1">
      <c r="A700" s="2">
        <v>1992.0</v>
      </c>
      <c r="B700" s="2">
        <v>1992.0</v>
      </c>
      <c r="C700" s="2">
        <v>3.0</v>
      </c>
      <c r="D700" s="2">
        <v>5.0</v>
      </c>
      <c r="E700" s="2" t="s">
        <v>888</v>
      </c>
      <c r="H700" s="2" t="s">
        <v>749</v>
      </c>
      <c r="I700" s="2" t="s">
        <v>35</v>
      </c>
      <c r="J700" s="1">
        <v>0.0</v>
      </c>
      <c r="K700" s="1">
        <v>0.0</v>
      </c>
      <c r="L700" s="2" t="s">
        <v>421</v>
      </c>
      <c r="N700" s="2">
        <v>1.0</v>
      </c>
      <c r="P700" s="8">
        <f t="shared" si="1"/>
        <v>33668</v>
      </c>
    </row>
    <row r="701" ht="15.75" customHeight="1">
      <c r="A701" s="2">
        <v>1992.0</v>
      </c>
      <c r="B701" s="2">
        <v>1992.0</v>
      </c>
      <c r="C701" s="2">
        <v>3.0</v>
      </c>
      <c r="D701" s="2">
        <v>1.0</v>
      </c>
      <c r="E701" s="2" t="s">
        <v>889</v>
      </c>
      <c r="H701" s="2" t="s">
        <v>17</v>
      </c>
      <c r="I701" s="2" t="s">
        <v>35</v>
      </c>
      <c r="J701" s="1">
        <v>0.0</v>
      </c>
      <c r="K701" s="1">
        <v>0.0</v>
      </c>
      <c r="L701" s="2" t="s">
        <v>19</v>
      </c>
      <c r="M701" s="2" t="s">
        <v>103</v>
      </c>
      <c r="N701" s="2">
        <v>1.0</v>
      </c>
      <c r="P701" s="8">
        <f t="shared" si="1"/>
        <v>33664</v>
      </c>
    </row>
    <row r="702" ht="15.75" customHeight="1">
      <c r="A702" s="2">
        <v>1992.0</v>
      </c>
      <c r="B702" s="2">
        <v>1992.0</v>
      </c>
      <c r="C702" s="2">
        <v>2.0</v>
      </c>
      <c r="D702" s="2">
        <v>29.0</v>
      </c>
      <c r="E702" s="2" t="s">
        <v>776</v>
      </c>
      <c r="H702" s="9" t="s">
        <v>17</v>
      </c>
      <c r="I702" s="2" t="s">
        <v>77</v>
      </c>
      <c r="J702" s="1">
        <v>0.0</v>
      </c>
      <c r="K702" s="1">
        <v>0.0</v>
      </c>
      <c r="L702" s="2" t="s">
        <v>29</v>
      </c>
      <c r="N702" s="2">
        <v>2.0</v>
      </c>
      <c r="P702" s="8">
        <f t="shared" si="1"/>
        <v>33663</v>
      </c>
    </row>
    <row r="703" ht="15.75" customHeight="1">
      <c r="A703" s="2">
        <v>1992.0</v>
      </c>
      <c r="B703" s="2">
        <v>1992.0</v>
      </c>
      <c r="C703" s="2">
        <v>2.0</v>
      </c>
      <c r="D703" s="2">
        <v>29.0</v>
      </c>
      <c r="E703" s="2" t="s">
        <v>890</v>
      </c>
      <c r="H703" s="2" t="s">
        <v>17</v>
      </c>
      <c r="I703" s="2" t="s">
        <v>74</v>
      </c>
      <c r="J703" s="1">
        <v>0.0</v>
      </c>
      <c r="K703" s="1">
        <v>0.0</v>
      </c>
      <c r="L703" s="2" t="s">
        <v>45</v>
      </c>
      <c r="N703" s="2">
        <v>1.0</v>
      </c>
      <c r="P703" s="8">
        <f t="shared" si="1"/>
        <v>33663</v>
      </c>
    </row>
    <row r="704" ht="15.75" customHeight="1">
      <c r="A704" s="2">
        <v>1992.0</v>
      </c>
      <c r="B704" s="2">
        <v>1992.0</v>
      </c>
      <c r="C704" s="2">
        <v>2.0</v>
      </c>
      <c r="D704" s="2">
        <v>25.0</v>
      </c>
      <c r="E704" s="2" t="s">
        <v>891</v>
      </c>
      <c r="H704" s="2" t="s">
        <v>17</v>
      </c>
      <c r="I704" s="2" t="s">
        <v>35</v>
      </c>
      <c r="J704" s="1">
        <v>0.0</v>
      </c>
      <c r="K704" s="1">
        <v>0.0</v>
      </c>
      <c r="L704" s="2" t="s">
        <v>24</v>
      </c>
      <c r="M704" s="2" t="s">
        <v>25</v>
      </c>
      <c r="N704" s="2">
        <v>1.0</v>
      </c>
      <c r="P704" s="8">
        <f t="shared" si="1"/>
        <v>33659</v>
      </c>
    </row>
    <row r="705" ht="15.75" customHeight="1">
      <c r="A705" s="2">
        <v>1992.0</v>
      </c>
      <c r="B705" s="2">
        <v>1992.0</v>
      </c>
      <c r="C705" s="2">
        <v>2.0</v>
      </c>
      <c r="D705" s="2">
        <v>23.0</v>
      </c>
      <c r="E705" s="2" t="s">
        <v>803</v>
      </c>
      <c r="H705" s="9" t="s">
        <v>17</v>
      </c>
      <c r="I705" s="2" t="s">
        <v>74</v>
      </c>
      <c r="J705" s="1">
        <v>0.0</v>
      </c>
      <c r="K705" s="1">
        <v>0.0</v>
      </c>
      <c r="L705" s="2" t="s">
        <v>652</v>
      </c>
      <c r="N705" s="2">
        <v>1.0</v>
      </c>
      <c r="P705" s="8">
        <f t="shared" si="1"/>
        <v>33657</v>
      </c>
    </row>
    <row r="706" ht="15.75" customHeight="1">
      <c r="A706" s="2">
        <v>1992.0</v>
      </c>
      <c r="B706" s="2">
        <v>1992.0</v>
      </c>
      <c r="C706" s="2">
        <v>2.0</v>
      </c>
      <c r="D706" s="2">
        <v>18.0</v>
      </c>
      <c r="E706" s="2" t="s">
        <v>892</v>
      </c>
      <c r="H706" s="2" t="s">
        <v>196</v>
      </c>
      <c r="I706" s="2" t="s">
        <v>35</v>
      </c>
      <c r="J706" s="1">
        <v>0.0</v>
      </c>
      <c r="K706" s="1">
        <v>0.0</v>
      </c>
      <c r="L706" s="2" t="s">
        <v>51</v>
      </c>
      <c r="M706" s="2" t="s">
        <v>25</v>
      </c>
      <c r="N706" s="2">
        <v>1.0</v>
      </c>
      <c r="P706" s="8">
        <f t="shared" si="1"/>
        <v>33652</v>
      </c>
    </row>
    <row r="707" ht="15.75" customHeight="1">
      <c r="A707" s="2">
        <v>1992.0</v>
      </c>
      <c r="B707" s="2">
        <v>1992.0</v>
      </c>
      <c r="C707" s="2">
        <v>2.0</v>
      </c>
      <c r="D707" s="2">
        <v>13.0</v>
      </c>
      <c r="E707" s="2" t="s">
        <v>893</v>
      </c>
      <c r="H707" s="2" t="s">
        <v>17</v>
      </c>
      <c r="I707" s="2" t="s">
        <v>80</v>
      </c>
      <c r="J707" s="1">
        <v>0.0</v>
      </c>
      <c r="K707" s="1">
        <v>0.0</v>
      </c>
      <c r="L707" s="2" t="s">
        <v>24</v>
      </c>
      <c r="M707" s="2" t="s">
        <v>25</v>
      </c>
      <c r="N707" s="2">
        <v>1.0</v>
      </c>
      <c r="P707" s="8">
        <f t="shared" si="1"/>
        <v>33647</v>
      </c>
    </row>
    <row r="708" ht="15.75" customHeight="1">
      <c r="A708" s="2">
        <v>1992.0</v>
      </c>
      <c r="B708" s="2">
        <v>1992.0</v>
      </c>
      <c r="C708" s="2">
        <v>2.0</v>
      </c>
      <c r="D708" s="2">
        <v>12.0</v>
      </c>
      <c r="E708" s="2" t="s">
        <v>894</v>
      </c>
      <c r="H708" s="2" t="s">
        <v>17</v>
      </c>
      <c r="I708" s="2" t="s">
        <v>40</v>
      </c>
      <c r="J708" s="1">
        <v>0.0</v>
      </c>
      <c r="K708" s="1">
        <v>0.0</v>
      </c>
      <c r="L708" s="2" t="s">
        <v>24</v>
      </c>
      <c r="M708" s="2" t="s">
        <v>25</v>
      </c>
      <c r="N708" s="2">
        <v>4.0</v>
      </c>
      <c r="P708" s="8">
        <f t="shared" si="1"/>
        <v>33646</v>
      </c>
    </row>
    <row r="709" ht="15.75" customHeight="1">
      <c r="A709" s="2">
        <v>1992.0</v>
      </c>
      <c r="B709" s="2">
        <v>1992.0</v>
      </c>
      <c r="C709" s="2">
        <v>2.0</v>
      </c>
      <c r="D709" s="2">
        <v>11.0</v>
      </c>
      <c r="E709" s="2" t="s">
        <v>850</v>
      </c>
      <c r="H709" s="2" t="s">
        <v>196</v>
      </c>
      <c r="I709" s="2" t="s">
        <v>18</v>
      </c>
      <c r="J709" s="1">
        <v>0.0</v>
      </c>
      <c r="K709" s="1">
        <v>0.0</v>
      </c>
      <c r="L709" s="2" t="s">
        <v>51</v>
      </c>
      <c r="M709" s="2" t="s">
        <v>25</v>
      </c>
      <c r="N709" s="2">
        <v>2.0</v>
      </c>
      <c r="P709" s="8">
        <f t="shared" si="1"/>
        <v>33645</v>
      </c>
    </row>
    <row r="710" ht="15.75" customHeight="1">
      <c r="A710" s="2">
        <v>1992.0</v>
      </c>
      <c r="B710" s="2">
        <v>1992.0</v>
      </c>
      <c r="C710" s="2">
        <v>2.0</v>
      </c>
      <c r="D710" s="2">
        <v>4.0</v>
      </c>
      <c r="E710" s="2" t="s">
        <v>789</v>
      </c>
      <c r="H710" s="2" t="s">
        <v>17</v>
      </c>
      <c r="I710" s="2" t="s">
        <v>85</v>
      </c>
      <c r="J710" s="1">
        <v>0.0</v>
      </c>
      <c r="K710" s="1">
        <v>0.0</v>
      </c>
      <c r="L710" s="2" t="s">
        <v>45</v>
      </c>
      <c r="N710" s="2">
        <v>1.0</v>
      </c>
      <c r="P710" s="8">
        <f t="shared" si="1"/>
        <v>33638</v>
      </c>
    </row>
    <row r="711" ht="15.75" customHeight="1">
      <c r="A711" s="2">
        <v>1991.0</v>
      </c>
      <c r="B711" s="2">
        <v>1991.0</v>
      </c>
      <c r="C711" s="2">
        <v>4.0</v>
      </c>
      <c r="D711" s="2">
        <v>20.0</v>
      </c>
      <c r="E711" s="2" t="s">
        <v>895</v>
      </c>
      <c r="H711" s="9" t="s">
        <v>17</v>
      </c>
      <c r="I711" s="2" t="s">
        <v>35</v>
      </c>
      <c r="J711" s="1">
        <v>0.0</v>
      </c>
      <c r="K711" s="1">
        <v>0.0</v>
      </c>
      <c r="L711" s="2" t="s">
        <v>29</v>
      </c>
      <c r="N711" s="2">
        <v>1.0</v>
      </c>
      <c r="P711" s="8">
        <f t="shared" si="1"/>
        <v>33348</v>
      </c>
    </row>
    <row r="712" ht="15.75" customHeight="1">
      <c r="A712" s="2">
        <v>1991.0</v>
      </c>
      <c r="B712" s="2">
        <v>1991.0</v>
      </c>
      <c r="C712" s="2">
        <v>3.0</v>
      </c>
      <c r="D712" s="2">
        <v>17.0</v>
      </c>
      <c r="E712" s="2" t="s">
        <v>896</v>
      </c>
      <c r="H712" s="2" t="s">
        <v>17</v>
      </c>
      <c r="I712" s="2" t="s">
        <v>35</v>
      </c>
      <c r="J712" s="1">
        <v>0.0</v>
      </c>
      <c r="K712" s="1">
        <v>0.0</v>
      </c>
      <c r="L712" s="2" t="s">
        <v>402</v>
      </c>
      <c r="N712" s="2">
        <v>1.0</v>
      </c>
      <c r="P712" s="8">
        <f t="shared" si="1"/>
        <v>33314</v>
      </c>
    </row>
    <row r="713" ht="15.75" customHeight="1">
      <c r="A713" s="2">
        <v>1991.0</v>
      </c>
      <c r="B713" s="2">
        <v>1991.0</v>
      </c>
      <c r="C713" s="2">
        <v>3.0</v>
      </c>
      <c r="D713" s="2">
        <v>6.0</v>
      </c>
      <c r="E713" s="2" t="s">
        <v>897</v>
      </c>
      <c r="H713" s="2" t="s">
        <v>17</v>
      </c>
      <c r="I713" s="2" t="s">
        <v>35</v>
      </c>
      <c r="J713" s="1">
        <v>0.0</v>
      </c>
      <c r="K713" s="1">
        <v>0.0</v>
      </c>
      <c r="L713" s="2" t="s">
        <v>24</v>
      </c>
      <c r="M713" s="2" t="s">
        <v>25</v>
      </c>
      <c r="N713" s="2">
        <v>1.0</v>
      </c>
      <c r="P713" s="8">
        <f t="shared" si="1"/>
        <v>33303</v>
      </c>
    </row>
    <row r="714" ht="15.75" customHeight="1">
      <c r="A714" s="2">
        <v>1991.0</v>
      </c>
      <c r="B714" s="2">
        <v>1991.0</v>
      </c>
      <c r="C714" s="2">
        <v>2.0</v>
      </c>
      <c r="D714" s="2">
        <v>24.0</v>
      </c>
      <c r="E714" s="2" t="s">
        <v>898</v>
      </c>
      <c r="H714" s="2" t="s">
        <v>17</v>
      </c>
      <c r="I714" s="2" t="s">
        <v>166</v>
      </c>
      <c r="J714" s="1">
        <v>0.0</v>
      </c>
      <c r="K714" s="1">
        <v>0.0</v>
      </c>
      <c r="L714" s="2" t="s">
        <v>29</v>
      </c>
      <c r="N714" s="2">
        <v>1.0</v>
      </c>
      <c r="P714" s="8">
        <f t="shared" si="1"/>
        <v>33293</v>
      </c>
    </row>
    <row r="715" ht="15.75" customHeight="1">
      <c r="A715" s="2">
        <v>1991.0</v>
      </c>
      <c r="B715" s="2">
        <v>1991.0</v>
      </c>
      <c r="C715" s="2">
        <v>2.0</v>
      </c>
      <c r="D715" s="2">
        <v>17.0</v>
      </c>
      <c r="E715" s="2" t="s">
        <v>899</v>
      </c>
      <c r="H715" s="2" t="s">
        <v>17</v>
      </c>
      <c r="I715" s="2" t="s">
        <v>35</v>
      </c>
      <c r="J715" s="1">
        <v>0.0</v>
      </c>
      <c r="K715" s="1">
        <v>0.0</v>
      </c>
      <c r="L715" s="2" t="s">
        <v>45</v>
      </c>
      <c r="N715" s="2">
        <v>1.0</v>
      </c>
      <c r="P715" s="8">
        <f t="shared" si="1"/>
        <v>33286</v>
      </c>
    </row>
    <row r="716" ht="15.75" customHeight="1">
      <c r="A716" s="2">
        <v>1991.0</v>
      </c>
      <c r="B716" s="2">
        <v>1991.0</v>
      </c>
      <c r="C716" s="2">
        <v>2.0</v>
      </c>
      <c r="D716" s="2">
        <v>5.0</v>
      </c>
      <c r="E716" s="2" t="s">
        <v>900</v>
      </c>
      <c r="H716" s="2" t="s">
        <v>17</v>
      </c>
      <c r="I716" s="2" t="s">
        <v>35</v>
      </c>
      <c r="J716" s="1">
        <v>0.0</v>
      </c>
      <c r="K716" s="1">
        <v>0.0</v>
      </c>
      <c r="L716" s="2" t="s">
        <v>51</v>
      </c>
      <c r="M716" s="2" t="s">
        <v>25</v>
      </c>
      <c r="N716" s="2">
        <v>1.0</v>
      </c>
      <c r="P716" s="8">
        <f t="shared" si="1"/>
        <v>33274</v>
      </c>
    </row>
    <row r="717" ht="15.75" customHeight="1">
      <c r="A717" s="2">
        <v>1991.0</v>
      </c>
      <c r="B717" s="2">
        <v>1990.0</v>
      </c>
      <c r="C717" s="2">
        <v>12.0</v>
      </c>
      <c r="D717" s="2">
        <v>29.0</v>
      </c>
      <c r="E717" s="2" t="s">
        <v>901</v>
      </c>
      <c r="H717" s="2" t="s">
        <v>17</v>
      </c>
      <c r="I717" s="2" t="s">
        <v>28</v>
      </c>
      <c r="J717" s="1">
        <v>0.0</v>
      </c>
      <c r="K717" s="1">
        <v>0.0</v>
      </c>
      <c r="L717" s="2" t="s">
        <v>45</v>
      </c>
      <c r="N717" s="2">
        <v>1.0</v>
      </c>
      <c r="P717" s="8">
        <f t="shared" si="1"/>
        <v>33236</v>
      </c>
    </row>
    <row r="718" ht="15.75" customHeight="1">
      <c r="A718" s="2">
        <v>1991.0</v>
      </c>
      <c r="B718" s="2">
        <v>1990.0</v>
      </c>
      <c r="C718" s="2">
        <v>12.0</v>
      </c>
      <c r="D718" s="2">
        <v>2.0</v>
      </c>
      <c r="E718" s="2" t="s">
        <v>902</v>
      </c>
      <c r="H718" s="2" t="s">
        <v>17</v>
      </c>
      <c r="I718" s="2" t="s">
        <v>35</v>
      </c>
      <c r="J718" s="1">
        <v>0.0</v>
      </c>
      <c r="K718" s="1">
        <v>0.0</v>
      </c>
      <c r="L718" s="2" t="s">
        <v>29</v>
      </c>
      <c r="N718" s="2">
        <v>1.0</v>
      </c>
      <c r="P718" s="8">
        <f t="shared" si="1"/>
        <v>33209</v>
      </c>
    </row>
    <row r="719" ht="15.75" customHeight="1">
      <c r="A719" s="2">
        <v>1991.0</v>
      </c>
      <c r="B719" s="2">
        <v>1990.0</v>
      </c>
      <c r="C719" s="2">
        <v>11.0</v>
      </c>
      <c r="D719" s="2">
        <v>7.0</v>
      </c>
      <c r="E719" s="2" t="s">
        <v>903</v>
      </c>
      <c r="H719" s="2" t="s">
        <v>17</v>
      </c>
      <c r="I719" s="2" t="s">
        <v>35</v>
      </c>
      <c r="J719" s="1">
        <v>0.0</v>
      </c>
      <c r="K719" s="1">
        <v>0.0</v>
      </c>
      <c r="L719" s="2" t="s">
        <v>24</v>
      </c>
      <c r="M719" s="2" t="s">
        <v>25</v>
      </c>
      <c r="N719" s="2">
        <v>1.0</v>
      </c>
      <c r="P719" s="8">
        <f t="shared" si="1"/>
        <v>33184</v>
      </c>
    </row>
    <row r="720" ht="15.75" customHeight="1">
      <c r="A720" s="2">
        <v>1990.0</v>
      </c>
      <c r="B720" s="2">
        <v>1990.0</v>
      </c>
      <c r="C720" s="2">
        <v>3.0</v>
      </c>
      <c r="D720" s="2">
        <v>15.0</v>
      </c>
      <c r="E720" s="2" t="s">
        <v>904</v>
      </c>
      <c r="H720" s="2" t="s">
        <v>196</v>
      </c>
      <c r="I720" s="2" t="s">
        <v>18</v>
      </c>
      <c r="J720" s="1">
        <v>0.0</v>
      </c>
      <c r="K720" s="1">
        <v>0.0</v>
      </c>
      <c r="L720" s="2" t="s">
        <v>51</v>
      </c>
      <c r="M720" s="2" t="s">
        <v>25</v>
      </c>
      <c r="N720" s="2">
        <v>1.0</v>
      </c>
      <c r="P720" s="8">
        <f t="shared" si="1"/>
        <v>32947</v>
      </c>
    </row>
    <row r="721" ht="15.75" customHeight="1">
      <c r="A721" s="2">
        <v>1990.0</v>
      </c>
      <c r="B721" s="2">
        <v>1990.0</v>
      </c>
      <c r="C721" s="2">
        <v>3.0</v>
      </c>
      <c r="D721" s="2">
        <v>7.0</v>
      </c>
      <c r="E721" s="2" t="s">
        <v>905</v>
      </c>
      <c r="H721" s="2" t="s">
        <v>17</v>
      </c>
      <c r="I721" s="2" t="s">
        <v>35</v>
      </c>
      <c r="J721" s="1">
        <v>0.0</v>
      </c>
      <c r="K721" s="1">
        <v>0.0</v>
      </c>
      <c r="L721" s="2" t="s">
        <v>24</v>
      </c>
      <c r="M721" s="2" t="s">
        <v>25</v>
      </c>
      <c r="N721" s="2">
        <v>1.0</v>
      </c>
      <c r="P721" s="8">
        <f t="shared" si="1"/>
        <v>32939</v>
      </c>
    </row>
    <row r="722" ht="15.75" customHeight="1">
      <c r="A722" s="2">
        <v>1990.0</v>
      </c>
      <c r="B722" s="2">
        <v>1990.0</v>
      </c>
      <c r="C722" s="2">
        <v>3.0</v>
      </c>
      <c r="D722" s="2">
        <v>3.0</v>
      </c>
      <c r="E722" s="2" t="s">
        <v>906</v>
      </c>
      <c r="H722" s="2" t="s">
        <v>845</v>
      </c>
      <c r="I722" s="2" t="s">
        <v>28</v>
      </c>
      <c r="J722" s="1">
        <v>0.0</v>
      </c>
      <c r="K722" s="1">
        <v>0.0</v>
      </c>
      <c r="L722" s="2" t="s">
        <v>402</v>
      </c>
      <c r="N722" s="2">
        <v>1.0</v>
      </c>
      <c r="P722" s="8">
        <f t="shared" si="1"/>
        <v>32935</v>
      </c>
    </row>
    <row r="723" ht="15.75" customHeight="1">
      <c r="A723" s="2">
        <v>1990.0</v>
      </c>
      <c r="B723" s="2">
        <v>1990.0</v>
      </c>
      <c r="C723" s="2">
        <v>2.0</v>
      </c>
      <c r="D723" s="2">
        <v>25.0</v>
      </c>
      <c r="E723" s="2" t="s">
        <v>907</v>
      </c>
      <c r="H723" s="2" t="s">
        <v>17</v>
      </c>
      <c r="I723" s="2" t="s">
        <v>35</v>
      </c>
      <c r="J723" s="1">
        <v>0.0</v>
      </c>
      <c r="K723" s="1">
        <v>0.0</v>
      </c>
      <c r="L723" s="2" t="s">
        <v>24</v>
      </c>
      <c r="M723" s="2" t="s">
        <v>60</v>
      </c>
      <c r="N723" s="2">
        <v>1.0</v>
      </c>
      <c r="P723" s="8">
        <f t="shared" si="1"/>
        <v>32929</v>
      </c>
    </row>
    <row r="724" ht="15.75" customHeight="1">
      <c r="A724" s="2">
        <v>1990.0</v>
      </c>
      <c r="B724" s="2">
        <v>1990.0</v>
      </c>
      <c r="C724" s="2">
        <v>2.0</v>
      </c>
      <c r="D724" s="2">
        <v>18.0</v>
      </c>
      <c r="E724" s="2" t="s">
        <v>867</v>
      </c>
      <c r="H724" s="2" t="s">
        <v>196</v>
      </c>
      <c r="I724" s="2" t="s">
        <v>35</v>
      </c>
      <c r="J724" s="1">
        <v>0.0</v>
      </c>
      <c r="K724" s="1">
        <v>0.0</v>
      </c>
      <c r="L724" s="2" t="s">
        <v>51</v>
      </c>
      <c r="M724" s="2" t="s">
        <v>25</v>
      </c>
      <c r="N724" s="2">
        <v>1.0</v>
      </c>
      <c r="P724" s="8">
        <f t="shared" si="1"/>
        <v>32922</v>
      </c>
    </row>
    <row r="725" ht="15.75" customHeight="1">
      <c r="A725" s="2">
        <v>1990.0</v>
      </c>
      <c r="B725" s="2">
        <v>1990.0</v>
      </c>
      <c r="C725" s="2">
        <v>1.0</v>
      </c>
      <c r="D725" s="2">
        <v>18.0</v>
      </c>
      <c r="E725" s="2" t="s">
        <v>908</v>
      </c>
      <c r="H725" s="2" t="s">
        <v>17</v>
      </c>
      <c r="I725" s="2" t="s">
        <v>85</v>
      </c>
      <c r="J725" s="1">
        <v>0.0</v>
      </c>
      <c r="K725" s="1">
        <v>0.0</v>
      </c>
      <c r="L725" s="2" t="s">
        <v>45</v>
      </c>
      <c r="N725" s="2">
        <v>1.0</v>
      </c>
      <c r="P725" s="8">
        <f t="shared" si="1"/>
        <v>32891</v>
      </c>
    </row>
    <row r="726" ht="15.75" customHeight="1">
      <c r="A726" s="2">
        <v>1990.0</v>
      </c>
      <c r="B726" s="2">
        <v>1990.0</v>
      </c>
      <c r="C726" s="2">
        <v>1.0</v>
      </c>
      <c r="D726" s="2">
        <v>2.0</v>
      </c>
      <c r="E726" s="2" t="s">
        <v>909</v>
      </c>
      <c r="H726" s="2" t="s">
        <v>196</v>
      </c>
      <c r="I726" s="2" t="s">
        <v>35</v>
      </c>
      <c r="J726" s="1">
        <v>0.0</v>
      </c>
      <c r="K726" s="1">
        <v>0.0</v>
      </c>
      <c r="L726" s="2" t="s">
        <v>51</v>
      </c>
      <c r="M726" s="2" t="s">
        <v>25</v>
      </c>
      <c r="N726" s="2">
        <v>1.0</v>
      </c>
      <c r="P726" s="8">
        <f t="shared" si="1"/>
        <v>32875</v>
      </c>
    </row>
    <row r="727" ht="15.75" customHeight="1">
      <c r="A727" s="2">
        <v>1990.0</v>
      </c>
      <c r="B727" s="2">
        <v>1989.0</v>
      </c>
      <c r="C727" s="2">
        <v>11.0</v>
      </c>
      <c r="D727" s="2">
        <v>26.0</v>
      </c>
      <c r="E727" s="2" t="s">
        <v>808</v>
      </c>
      <c r="H727" s="2" t="s">
        <v>17</v>
      </c>
      <c r="I727" s="2" t="s">
        <v>40</v>
      </c>
      <c r="J727" s="1">
        <v>0.0</v>
      </c>
      <c r="K727" s="1">
        <v>0.0</v>
      </c>
      <c r="L727" s="2" t="s">
        <v>24</v>
      </c>
      <c r="M727" s="2" t="s">
        <v>25</v>
      </c>
      <c r="N727" s="2">
        <v>1.0</v>
      </c>
      <c r="P727" s="8">
        <f t="shared" si="1"/>
        <v>32838</v>
      </c>
    </row>
    <row r="728" ht="15.75" customHeight="1">
      <c r="A728" s="2">
        <v>1989.0</v>
      </c>
      <c r="B728" s="2">
        <v>1989.0</v>
      </c>
      <c r="C728" s="2">
        <v>4.0</v>
      </c>
      <c r="D728" s="2">
        <v>2.0</v>
      </c>
      <c r="E728" s="2" t="s">
        <v>910</v>
      </c>
      <c r="H728" s="2" t="s">
        <v>17</v>
      </c>
      <c r="I728" s="2" t="s">
        <v>35</v>
      </c>
      <c r="J728" s="1">
        <v>0.0</v>
      </c>
      <c r="K728" s="1">
        <v>0.0</v>
      </c>
      <c r="L728" s="2" t="s">
        <v>24</v>
      </c>
      <c r="M728" s="2" t="s">
        <v>25</v>
      </c>
      <c r="N728" s="2">
        <v>1.0</v>
      </c>
      <c r="P728" s="8">
        <f t="shared" si="1"/>
        <v>32600</v>
      </c>
    </row>
    <row r="729" ht="15.75" customHeight="1">
      <c r="A729" s="2">
        <v>1989.0</v>
      </c>
      <c r="B729" s="2">
        <v>1989.0</v>
      </c>
      <c r="C729" s="2">
        <v>3.0</v>
      </c>
      <c r="D729" s="2">
        <v>4.0</v>
      </c>
      <c r="E729" s="2" t="s">
        <v>911</v>
      </c>
      <c r="H729" s="2" t="s">
        <v>17</v>
      </c>
      <c r="I729" s="2" t="s">
        <v>80</v>
      </c>
      <c r="J729" s="1">
        <v>0.0</v>
      </c>
      <c r="K729" s="1">
        <v>0.0</v>
      </c>
      <c r="L729" s="2" t="s">
        <v>24</v>
      </c>
      <c r="M729" s="2" t="s">
        <v>25</v>
      </c>
      <c r="N729" s="2">
        <v>1.0</v>
      </c>
      <c r="P729" s="8">
        <f t="shared" si="1"/>
        <v>32571</v>
      </c>
    </row>
    <row r="730" ht="15.75" customHeight="1">
      <c r="A730" s="2">
        <v>1989.0</v>
      </c>
      <c r="B730" s="2">
        <v>1989.0</v>
      </c>
      <c r="C730" s="2">
        <v>2.0</v>
      </c>
      <c r="D730" s="2">
        <v>19.0</v>
      </c>
      <c r="E730" s="2" t="s">
        <v>912</v>
      </c>
      <c r="H730" s="2" t="s">
        <v>196</v>
      </c>
      <c r="I730" s="2" t="s">
        <v>59</v>
      </c>
      <c r="J730" s="1">
        <v>0.0</v>
      </c>
      <c r="K730" s="1">
        <v>0.0</v>
      </c>
      <c r="L730" s="2" t="s">
        <v>384</v>
      </c>
      <c r="N730" s="2">
        <v>1.0</v>
      </c>
      <c r="P730" s="8">
        <f t="shared" si="1"/>
        <v>32558</v>
      </c>
    </row>
    <row r="731" ht="15.75" customHeight="1">
      <c r="A731" s="2">
        <v>1989.0</v>
      </c>
      <c r="B731" s="2">
        <v>1989.0</v>
      </c>
      <c r="C731" s="2">
        <v>2.0</v>
      </c>
      <c r="D731" s="2">
        <v>14.0</v>
      </c>
      <c r="E731" s="2" t="s">
        <v>913</v>
      </c>
      <c r="H731" s="2" t="s">
        <v>17</v>
      </c>
      <c r="I731" s="2" t="s">
        <v>35</v>
      </c>
      <c r="J731" s="1">
        <v>0.0</v>
      </c>
      <c r="K731" s="1">
        <v>0.0</v>
      </c>
      <c r="L731" s="2" t="s">
        <v>51</v>
      </c>
      <c r="M731" s="2" t="s">
        <v>25</v>
      </c>
      <c r="N731" s="2">
        <v>2.0</v>
      </c>
      <c r="P731" s="8">
        <f t="shared" si="1"/>
        <v>32553</v>
      </c>
    </row>
    <row r="732" ht="15.75" customHeight="1">
      <c r="A732" s="2">
        <v>1989.0</v>
      </c>
      <c r="B732" s="2">
        <v>1989.0</v>
      </c>
      <c r="C732" s="2">
        <v>2.0</v>
      </c>
      <c r="D732" s="2">
        <v>5.0</v>
      </c>
      <c r="E732" s="2" t="s">
        <v>867</v>
      </c>
      <c r="H732" s="2" t="s">
        <v>39</v>
      </c>
      <c r="I732" s="2" t="s">
        <v>35</v>
      </c>
      <c r="J732" s="1">
        <v>0.0</v>
      </c>
      <c r="K732" s="1">
        <v>0.0</v>
      </c>
      <c r="L732" s="2" t="s">
        <v>41</v>
      </c>
      <c r="M732" s="2" t="s">
        <v>20</v>
      </c>
      <c r="N732" s="2">
        <v>1.0</v>
      </c>
      <c r="P732" s="8">
        <f t="shared" si="1"/>
        <v>32544</v>
      </c>
    </row>
    <row r="733" ht="15.75" customHeight="1">
      <c r="A733" s="2">
        <v>1989.0</v>
      </c>
      <c r="B733" s="2">
        <v>1988.0</v>
      </c>
      <c r="C733" s="2">
        <v>12.0</v>
      </c>
      <c r="D733" s="2">
        <v>6.0</v>
      </c>
      <c r="E733" s="2" t="s">
        <v>914</v>
      </c>
      <c r="H733" s="2" t="s">
        <v>17</v>
      </c>
      <c r="I733" s="2" t="s">
        <v>28</v>
      </c>
      <c r="J733" s="1">
        <v>0.0</v>
      </c>
      <c r="K733" s="1">
        <v>0.0</v>
      </c>
      <c r="L733" s="2" t="s">
        <v>24</v>
      </c>
      <c r="M733" s="2" t="s">
        <v>25</v>
      </c>
      <c r="N733" s="2">
        <v>1.0</v>
      </c>
      <c r="P733" s="8">
        <f t="shared" si="1"/>
        <v>32483</v>
      </c>
    </row>
    <row r="734" ht="15.75" customHeight="1">
      <c r="A734" s="2">
        <v>1988.0</v>
      </c>
      <c r="B734" s="2">
        <v>1988.0</v>
      </c>
      <c r="C734" s="2">
        <v>6.0</v>
      </c>
      <c r="D734" s="2">
        <v>16.0</v>
      </c>
      <c r="E734" s="2" t="s">
        <v>915</v>
      </c>
      <c r="H734" s="2" t="s">
        <v>17</v>
      </c>
      <c r="I734" s="2" t="s">
        <v>28</v>
      </c>
      <c r="J734" s="1">
        <v>0.0</v>
      </c>
      <c r="K734" s="1">
        <v>0.0</v>
      </c>
      <c r="L734" s="2" t="s">
        <v>29</v>
      </c>
      <c r="N734" s="2">
        <v>2.0</v>
      </c>
      <c r="P734" s="8">
        <f t="shared" si="1"/>
        <v>32310</v>
      </c>
    </row>
    <row r="735" ht="15.75" customHeight="1">
      <c r="A735" s="2">
        <v>1988.0</v>
      </c>
      <c r="B735" s="2">
        <v>1988.0</v>
      </c>
      <c r="C735" s="2">
        <v>3.0</v>
      </c>
      <c r="D735" s="2">
        <v>6.0</v>
      </c>
      <c r="E735" s="2" t="s">
        <v>916</v>
      </c>
      <c r="H735" s="9" t="s">
        <v>17</v>
      </c>
      <c r="I735" s="2" t="s">
        <v>77</v>
      </c>
      <c r="J735" s="1">
        <v>0.0</v>
      </c>
      <c r="K735" s="1">
        <v>0.0</v>
      </c>
      <c r="L735" s="2" t="s">
        <v>24</v>
      </c>
      <c r="M735" s="2" t="s">
        <v>25</v>
      </c>
      <c r="N735" s="2">
        <v>1.0</v>
      </c>
      <c r="P735" s="8">
        <f t="shared" si="1"/>
        <v>32208</v>
      </c>
    </row>
    <row r="736" ht="15.75" customHeight="1">
      <c r="A736" s="2">
        <v>1988.0</v>
      </c>
      <c r="B736" s="2">
        <v>1988.0</v>
      </c>
      <c r="C736" s="2">
        <v>1.0</v>
      </c>
      <c r="D736" s="2">
        <v>10.0</v>
      </c>
      <c r="E736" s="2" t="s">
        <v>917</v>
      </c>
      <c r="H736" s="2" t="s">
        <v>17</v>
      </c>
      <c r="I736" s="2" t="s">
        <v>35</v>
      </c>
      <c r="J736" s="1">
        <v>0.0</v>
      </c>
      <c r="K736" s="1">
        <v>0.0</v>
      </c>
      <c r="L736" s="2" t="s">
        <v>24</v>
      </c>
      <c r="M736" s="2" t="s">
        <v>25</v>
      </c>
      <c r="N736" s="2">
        <v>3.0</v>
      </c>
      <c r="P736" s="8">
        <f t="shared" si="1"/>
        <v>32152</v>
      </c>
    </row>
    <row r="737" ht="15.75" customHeight="1">
      <c r="A737" s="2">
        <v>1988.0</v>
      </c>
      <c r="B737" s="2">
        <v>1987.0</v>
      </c>
      <c r="C737" s="2">
        <v>12.0</v>
      </c>
      <c r="D737" s="2">
        <v>29.0</v>
      </c>
      <c r="E737" s="2" t="s">
        <v>918</v>
      </c>
      <c r="H737" s="2" t="s">
        <v>17</v>
      </c>
      <c r="I737" s="2" t="s">
        <v>35</v>
      </c>
      <c r="J737" s="1">
        <v>0.0</v>
      </c>
      <c r="K737" s="1">
        <v>0.0</v>
      </c>
      <c r="L737" s="2" t="s">
        <v>24</v>
      </c>
      <c r="M737" s="2" t="s">
        <v>25</v>
      </c>
      <c r="N737" s="2">
        <v>2.0</v>
      </c>
      <c r="P737" s="8">
        <f t="shared" si="1"/>
        <v>32140</v>
      </c>
    </row>
    <row r="738" ht="15.75" customHeight="1">
      <c r="A738" s="2">
        <v>1987.0</v>
      </c>
      <c r="B738" s="2">
        <v>1987.0</v>
      </c>
      <c r="C738" s="2">
        <v>6.0</v>
      </c>
      <c r="D738" s="2">
        <v>17.0</v>
      </c>
      <c r="E738" s="2" t="s">
        <v>919</v>
      </c>
      <c r="H738" s="2" t="s">
        <v>17</v>
      </c>
      <c r="I738" s="2" t="s">
        <v>28</v>
      </c>
      <c r="J738" s="1">
        <v>0.0</v>
      </c>
      <c r="K738" s="1">
        <v>0.0</v>
      </c>
      <c r="L738" s="2" t="s">
        <v>19</v>
      </c>
      <c r="N738" s="2">
        <v>1.0</v>
      </c>
      <c r="P738" s="8">
        <f t="shared" si="1"/>
        <v>31945</v>
      </c>
    </row>
    <row r="739" ht="15.75" customHeight="1">
      <c r="A739" s="2">
        <v>1987.0</v>
      </c>
      <c r="B739" s="2">
        <v>1987.0</v>
      </c>
      <c r="C739" s="2">
        <v>6.0</v>
      </c>
      <c r="D739" s="2">
        <v>13.0</v>
      </c>
      <c r="E739" s="2" t="s">
        <v>920</v>
      </c>
      <c r="H739" s="2" t="s">
        <v>17</v>
      </c>
      <c r="I739" s="2" t="s">
        <v>49</v>
      </c>
      <c r="J739" s="1">
        <v>0.0</v>
      </c>
      <c r="K739" s="1">
        <v>0.0</v>
      </c>
      <c r="L739" s="2" t="s">
        <v>29</v>
      </c>
      <c r="N739" s="2">
        <v>1.0</v>
      </c>
      <c r="P739" s="8">
        <f t="shared" si="1"/>
        <v>31941</v>
      </c>
    </row>
    <row r="740" ht="15.75" customHeight="1">
      <c r="A740" s="2">
        <v>1987.0</v>
      </c>
      <c r="B740" s="2">
        <v>1987.0</v>
      </c>
      <c r="C740" s="2">
        <v>5.0</v>
      </c>
      <c r="D740" s="2">
        <v>22.0</v>
      </c>
      <c r="E740" s="2" t="s">
        <v>815</v>
      </c>
      <c r="H740" s="9" t="s">
        <v>17</v>
      </c>
      <c r="I740" s="2" t="s">
        <v>28</v>
      </c>
      <c r="J740" s="1">
        <v>0.0</v>
      </c>
      <c r="K740" s="1">
        <v>0.0</v>
      </c>
      <c r="L740" s="2" t="s">
        <v>29</v>
      </c>
      <c r="N740" s="2">
        <v>1.0</v>
      </c>
      <c r="P740" s="8">
        <f t="shared" si="1"/>
        <v>31919</v>
      </c>
    </row>
    <row r="741" ht="15.75" customHeight="1">
      <c r="A741" s="2">
        <v>1987.0</v>
      </c>
      <c r="B741" s="2">
        <v>1987.0</v>
      </c>
      <c r="C741" s="2">
        <v>5.0</v>
      </c>
      <c r="D741" s="2">
        <v>6.0</v>
      </c>
      <c r="E741" s="2" t="s">
        <v>921</v>
      </c>
      <c r="H741" s="9" t="s">
        <v>17</v>
      </c>
      <c r="I741" s="2" t="s">
        <v>28</v>
      </c>
      <c r="J741" s="1">
        <v>0.0</v>
      </c>
      <c r="K741" s="1">
        <v>0.0</v>
      </c>
      <c r="L741" s="2" t="s">
        <v>29</v>
      </c>
      <c r="N741" s="2">
        <v>4.0</v>
      </c>
      <c r="P741" s="8">
        <f t="shared" si="1"/>
        <v>31903</v>
      </c>
    </row>
    <row r="742" ht="15.75" customHeight="1">
      <c r="A742" s="2">
        <v>1987.0</v>
      </c>
      <c r="B742" s="2">
        <v>1987.0</v>
      </c>
      <c r="C742" s="2">
        <v>3.0</v>
      </c>
      <c r="D742" s="2">
        <v>15.0</v>
      </c>
      <c r="E742" s="2" t="s">
        <v>922</v>
      </c>
      <c r="H742" s="2" t="s">
        <v>17</v>
      </c>
      <c r="I742" s="2" t="s">
        <v>35</v>
      </c>
      <c r="J742" s="1">
        <v>0.0</v>
      </c>
      <c r="K742" s="1">
        <v>0.0</v>
      </c>
      <c r="L742" s="2" t="s">
        <v>45</v>
      </c>
      <c r="N742" s="2">
        <v>2.0</v>
      </c>
      <c r="P742" s="8">
        <f t="shared" si="1"/>
        <v>31851</v>
      </c>
    </row>
    <row r="743" ht="15.75" customHeight="1">
      <c r="A743" s="2">
        <v>1987.0</v>
      </c>
      <c r="B743" s="2">
        <v>1987.0</v>
      </c>
      <c r="C743" s="2">
        <v>3.0</v>
      </c>
      <c r="D743" s="2">
        <v>3.0</v>
      </c>
      <c r="E743" s="2" t="s">
        <v>923</v>
      </c>
      <c r="H743" s="2" t="s">
        <v>17</v>
      </c>
      <c r="I743" s="2" t="s">
        <v>35</v>
      </c>
      <c r="J743" s="1">
        <v>0.0</v>
      </c>
      <c r="K743" s="1">
        <v>0.0</v>
      </c>
      <c r="L743" s="2" t="s">
        <v>425</v>
      </c>
      <c r="N743" s="2">
        <v>1.0</v>
      </c>
      <c r="P743" s="8">
        <f t="shared" si="1"/>
        <v>31839</v>
      </c>
    </row>
    <row r="744" ht="15.75" customHeight="1">
      <c r="A744" s="2">
        <v>1987.0</v>
      </c>
      <c r="B744" s="2">
        <v>1987.0</v>
      </c>
      <c r="C744" s="2">
        <v>2.0</v>
      </c>
      <c r="D744" s="2">
        <v>18.0</v>
      </c>
      <c r="E744" s="2" t="s">
        <v>875</v>
      </c>
      <c r="H744" s="2" t="s">
        <v>17</v>
      </c>
      <c r="I744" s="2" t="s">
        <v>35</v>
      </c>
      <c r="J744" s="1">
        <v>0.0</v>
      </c>
      <c r="K744" s="1">
        <v>0.0</v>
      </c>
      <c r="L744" s="2" t="s">
        <v>51</v>
      </c>
      <c r="M744" s="2" t="s">
        <v>25</v>
      </c>
      <c r="N744" s="2">
        <v>4.0</v>
      </c>
      <c r="P744" s="8">
        <f t="shared" si="1"/>
        <v>31826</v>
      </c>
    </row>
    <row r="745" ht="15.75" customHeight="1">
      <c r="A745" s="2">
        <v>1987.0</v>
      </c>
      <c r="B745" s="2">
        <v>1987.0</v>
      </c>
      <c r="C745" s="2">
        <v>2.0</v>
      </c>
      <c r="D745" s="2">
        <v>15.0</v>
      </c>
      <c r="E745" s="2" t="s">
        <v>861</v>
      </c>
      <c r="H745" s="2" t="s">
        <v>17</v>
      </c>
      <c r="I745" s="2" t="s">
        <v>40</v>
      </c>
      <c r="J745" s="1">
        <v>0.0</v>
      </c>
      <c r="K745" s="1">
        <v>0.0</v>
      </c>
      <c r="L745" s="2" t="s">
        <v>24</v>
      </c>
      <c r="M745" s="2" t="s">
        <v>25</v>
      </c>
      <c r="N745" s="2">
        <v>1.0</v>
      </c>
      <c r="P745" s="8">
        <f t="shared" si="1"/>
        <v>31823</v>
      </c>
    </row>
    <row r="746" ht="15.75" customHeight="1">
      <c r="A746" s="2">
        <v>1987.0</v>
      </c>
      <c r="B746" s="2">
        <v>1987.0</v>
      </c>
      <c r="C746" s="2">
        <v>2.0</v>
      </c>
      <c r="D746" s="2">
        <v>14.0</v>
      </c>
      <c r="E746" s="2" t="s">
        <v>913</v>
      </c>
      <c r="H746" s="2" t="s">
        <v>17</v>
      </c>
      <c r="I746" s="2" t="s">
        <v>35</v>
      </c>
      <c r="J746" s="1">
        <v>0.0</v>
      </c>
      <c r="K746" s="1">
        <v>0.0</v>
      </c>
      <c r="L746" s="2" t="s">
        <v>51</v>
      </c>
      <c r="M746" s="2" t="s">
        <v>25</v>
      </c>
      <c r="N746" s="2">
        <v>1.0</v>
      </c>
      <c r="P746" s="8">
        <f t="shared" si="1"/>
        <v>31822</v>
      </c>
    </row>
    <row r="747" ht="15.75" customHeight="1">
      <c r="A747" s="2">
        <v>1987.0</v>
      </c>
      <c r="B747" s="2">
        <v>1987.0</v>
      </c>
      <c r="C747" s="2">
        <v>2.0</v>
      </c>
      <c r="D747" s="2">
        <v>2.0</v>
      </c>
      <c r="E747" s="2" t="s">
        <v>913</v>
      </c>
      <c r="H747" s="2" t="s">
        <v>17</v>
      </c>
      <c r="I747" s="2" t="s">
        <v>35</v>
      </c>
      <c r="J747" s="1">
        <v>0.0</v>
      </c>
      <c r="K747" s="1">
        <v>0.0</v>
      </c>
      <c r="L747" s="2" t="s">
        <v>51</v>
      </c>
      <c r="M747" s="2" t="s">
        <v>25</v>
      </c>
      <c r="N747" s="2">
        <v>2.0</v>
      </c>
      <c r="P747" s="8">
        <f t="shared" si="1"/>
        <v>31810</v>
      </c>
    </row>
    <row r="748" ht="15.75" customHeight="1">
      <c r="A748" s="2">
        <v>1987.0</v>
      </c>
      <c r="B748" s="2">
        <v>1987.0</v>
      </c>
      <c r="C748" s="2">
        <v>1.0</v>
      </c>
      <c r="D748" s="2">
        <v>31.0</v>
      </c>
      <c r="E748" s="2" t="s">
        <v>924</v>
      </c>
      <c r="H748" s="2" t="s">
        <v>17</v>
      </c>
      <c r="I748" s="2" t="s">
        <v>85</v>
      </c>
      <c r="J748" s="1">
        <v>0.0</v>
      </c>
      <c r="K748" s="1">
        <v>0.0</v>
      </c>
      <c r="L748" s="2" t="s">
        <v>24</v>
      </c>
      <c r="M748" s="2" t="s">
        <v>25</v>
      </c>
      <c r="N748" s="2">
        <v>1.0</v>
      </c>
      <c r="P748" s="8">
        <f t="shared" si="1"/>
        <v>31808</v>
      </c>
    </row>
    <row r="749" ht="15.75" customHeight="1">
      <c r="A749" s="2">
        <v>1987.0</v>
      </c>
      <c r="B749" s="2">
        <v>1987.0</v>
      </c>
      <c r="C749" s="2">
        <v>1.0</v>
      </c>
      <c r="D749" s="2">
        <v>8.0</v>
      </c>
      <c r="E749" s="2" t="s">
        <v>913</v>
      </c>
      <c r="H749" s="2" t="s">
        <v>17</v>
      </c>
      <c r="I749" s="2" t="s">
        <v>35</v>
      </c>
      <c r="J749" s="1">
        <v>0.0</v>
      </c>
      <c r="K749" s="1">
        <v>0.0</v>
      </c>
      <c r="L749" s="2" t="s">
        <v>51</v>
      </c>
      <c r="M749" s="2" t="s">
        <v>25</v>
      </c>
      <c r="N749" s="2">
        <v>1.0</v>
      </c>
      <c r="P749" s="8">
        <f t="shared" si="1"/>
        <v>31785</v>
      </c>
    </row>
    <row r="750" ht="15.75" customHeight="1">
      <c r="A750" s="2">
        <v>1987.0</v>
      </c>
      <c r="B750" s="2">
        <v>1986.0</v>
      </c>
      <c r="C750" s="2">
        <v>11.0</v>
      </c>
      <c r="D750" s="2">
        <v>20.0</v>
      </c>
      <c r="E750" s="2" t="s">
        <v>925</v>
      </c>
      <c r="H750" s="2" t="s">
        <v>196</v>
      </c>
      <c r="I750" s="2" t="s">
        <v>40</v>
      </c>
      <c r="J750" s="1">
        <v>0.0</v>
      </c>
      <c r="K750" s="1">
        <v>0.0</v>
      </c>
      <c r="L750" s="2" t="s">
        <v>19</v>
      </c>
      <c r="N750" s="2">
        <v>1.0</v>
      </c>
      <c r="P750" s="8">
        <f t="shared" si="1"/>
        <v>31736</v>
      </c>
    </row>
    <row r="751" ht="15.75" customHeight="1">
      <c r="A751" s="2">
        <v>1986.0</v>
      </c>
      <c r="B751" s="2">
        <v>1986.0</v>
      </c>
      <c r="C751" s="2">
        <v>8.0</v>
      </c>
      <c r="D751" s="2">
        <v>3.0</v>
      </c>
      <c r="E751" s="2" t="s">
        <v>712</v>
      </c>
      <c r="H751" s="2" t="s">
        <v>17</v>
      </c>
      <c r="I751" s="2" t="s">
        <v>77</v>
      </c>
      <c r="J751" s="1">
        <v>0.0</v>
      </c>
      <c r="K751" s="1">
        <v>0.0</v>
      </c>
      <c r="L751" s="2" t="s">
        <v>29</v>
      </c>
      <c r="N751" s="2">
        <v>2.0</v>
      </c>
      <c r="P751" s="8">
        <f t="shared" si="1"/>
        <v>31627</v>
      </c>
    </row>
    <row r="752" ht="15.75" customHeight="1">
      <c r="A752" s="2">
        <v>1986.0</v>
      </c>
      <c r="B752" s="2">
        <v>1986.0</v>
      </c>
      <c r="C752" s="2">
        <v>2.0</v>
      </c>
      <c r="D752" s="2">
        <v>26.0</v>
      </c>
      <c r="E752" s="2" t="s">
        <v>926</v>
      </c>
      <c r="H752" s="2" t="s">
        <v>196</v>
      </c>
      <c r="I752" s="2" t="s">
        <v>35</v>
      </c>
      <c r="J752" s="1">
        <v>0.0</v>
      </c>
      <c r="K752" s="1">
        <v>0.0</v>
      </c>
      <c r="L752" s="2" t="s">
        <v>51</v>
      </c>
      <c r="M752" s="2" t="s">
        <v>25</v>
      </c>
      <c r="N752" s="2">
        <v>1.0</v>
      </c>
      <c r="P752" s="8">
        <f t="shared" si="1"/>
        <v>31469</v>
      </c>
    </row>
    <row r="753" ht="15.75" customHeight="1">
      <c r="A753" s="2">
        <v>1986.0</v>
      </c>
      <c r="B753" s="2">
        <v>1986.0</v>
      </c>
      <c r="C753" s="2">
        <v>2.0</v>
      </c>
      <c r="D753" s="2">
        <v>19.0</v>
      </c>
      <c r="E753" s="2" t="s">
        <v>925</v>
      </c>
      <c r="H753" s="2" t="s">
        <v>196</v>
      </c>
      <c r="I753" s="2" t="s">
        <v>40</v>
      </c>
      <c r="J753" s="1">
        <v>0.0</v>
      </c>
      <c r="K753" s="1">
        <v>0.0</v>
      </c>
      <c r="L753" s="2" t="s">
        <v>197</v>
      </c>
      <c r="M753" s="2" t="s">
        <v>25</v>
      </c>
      <c r="N753" s="2">
        <v>1.0</v>
      </c>
      <c r="P753" s="8">
        <f t="shared" si="1"/>
        <v>31462</v>
      </c>
    </row>
    <row r="754" ht="15.75" customHeight="1">
      <c r="A754" s="2">
        <v>1986.0</v>
      </c>
      <c r="B754" s="2">
        <v>1986.0</v>
      </c>
      <c r="C754" s="2">
        <v>2.0</v>
      </c>
      <c r="D754" s="2">
        <v>17.0</v>
      </c>
      <c r="E754" s="2" t="s">
        <v>861</v>
      </c>
      <c r="H754" s="2" t="s">
        <v>17</v>
      </c>
      <c r="I754" s="2" t="s">
        <v>40</v>
      </c>
      <c r="J754" s="1">
        <v>0.0</v>
      </c>
      <c r="K754" s="1">
        <v>0.0</v>
      </c>
      <c r="L754" s="9" t="s">
        <v>24</v>
      </c>
      <c r="M754" s="2" t="s">
        <v>60</v>
      </c>
      <c r="N754" s="2">
        <v>1.0</v>
      </c>
      <c r="O754" s="9" t="s">
        <v>927</v>
      </c>
      <c r="P754" s="8">
        <f t="shared" si="1"/>
        <v>31460</v>
      </c>
    </row>
    <row r="755" ht="15.75" customHeight="1">
      <c r="A755" s="2">
        <v>1986.0</v>
      </c>
      <c r="B755" s="2">
        <v>1986.0</v>
      </c>
      <c r="C755" s="2">
        <v>2.0</v>
      </c>
      <c r="D755" s="2">
        <v>17.0</v>
      </c>
      <c r="E755" s="2" t="s">
        <v>770</v>
      </c>
      <c r="H755" s="2" t="s">
        <v>196</v>
      </c>
      <c r="I755" s="2" t="s">
        <v>74</v>
      </c>
      <c r="J755" s="1">
        <v>0.0</v>
      </c>
      <c r="K755" s="1">
        <v>0.0</v>
      </c>
      <c r="L755" s="2" t="s">
        <v>384</v>
      </c>
      <c r="N755" s="2">
        <v>1.0</v>
      </c>
      <c r="P755" s="8">
        <f t="shared" si="1"/>
        <v>31460</v>
      </c>
    </row>
    <row r="756" ht="15.75" customHeight="1">
      <c r="A756" s="2">
        <v>1986.0</v>
      </c>
      <c r="B756" s="2">
        <v>1986.0</v>
      </c>
      <c r="C756" s="2">
        <v>2.0</v>
      </c>
      <c r="D756" s="2">
        <v>15.0</v>
      </c>
      <c r="E756" s="2" t="s">
        <v>928</v>
      </c>
      <c r="H756" s="2" t="s">
        <v>39</v>
      </c>
      <c r="I756" s="2" t="s">
        <v>18</v>
      </c>
      <c r="J756" s="1">
        <v>0.0</v>
      </c>
      <c r="K756" s="1">
        <v>0.0</v>
      </c>
      <c r="L756" s="2" t="s">
        <v>41</v>
      </c>
      <c r="M756" s="2" t="s">
        <v>20</v>
      </c>
      <c r="N756" s="2">
        <v>1.0</v>
      </c>
      <c r="P756" s="8">
        <f t="shared" si="1"/>
        <v>31458</v>
      </c>
    </row>
    <row r="757" ht="15.75" customHeight="1">
      <c r="A757" s="2">
        <v>1986.0</v>
      </c>
      <c r="B757" s="2">
        <v>1986.0</v>
      </c>
      <c r="C757" s="2">
        <v>2.0</v>
      </c>
      <c r="D757" s="2">
        <v>7.0</v>
      </c>
      <c r="E757" s="2" t="s">
        <v>924</v>
      </c>
      <c r="H757" s="2" t="s">
        <v>17</v>
      </c>
      <c r="I757" s="2" t="s">
        <v>85</v>
      </c>
      <c r="J757" s="1">
        <v>0.0</v>
      </c>
      <c r="K757" s="1">
        <v>0.0</v>
      </c>
      <c r="L757" s="2" t="s">
        <v>24</v>
      </c>
      <c r="M757" s="2" t="s">
        <v>25</v>
      </c>
      <c r="N757" s="2">
        <v>2.0</v>
      </c>
      <c r="P757" s="8">
        <f t="shared" si="1"/>
        <v>31450</v>
      </c>
    </row>
    <row r="758" ht="15.75" customHeight="1">
      <c r="A758" s="2">
        <v>1986.0</v>
      </c>
      <c r="B758" s="2">
        <v>1986.0</v>
      </c>
      <c r="C758" s="2">
        <v>1.0</v>
      </c>
      <c r="D758" s="2">
        <v>6.0</v>
      </c>
      <c r="E758" s="2" t="s">
        <v>929</v>
      </c>
      <c r="H758" s="2" t="s">
        <v>17</v>
      </c>
      <c r="I758" s="2" t="s">
        <v>40</v>
      </c>
      <c r="J758" s="1">
        <v>0.0</v>
      </c>
      <c r="K758" s="1">
        <v>0.0</v>
      </c>
      <c r="L758" s="2" t="s">
        <v>24</v>
      </c>
      <c r="M758" s="2" t="s">
        <v>25</v>
      </c>
      <c r="N758" s="2">
        <v>1.0</v>
      </c>
      <c r="P758" s="8">
        <f t="shared" si="1"/>
        <v>31418</v>
      </c>
    </row>
    <row r="759" ht="15.75" customHeight="1">
      <c r="A759" s="2">
        <v>1986.0</v>
      </c>
      <c r="B759" s="2">
        <v>1985.0</v>
      </c>
      <c r="C759" s="2">
        <v>12.0</v>
      </c>
      <c r="D759" s="2">
        <v>2.0</v>
      </c>
      <c r="E759" s="2" t="s">
        <v>770</v>
      </c>
      <c r="H759" s="2" t="s">
        <v>196</v>
      </c>
      <c r="I759" s="2" t="s">
        <v>74</v>
      </c>
      <c r="J759" s="1">
        <v>0.0</v>
      </c>
      <c r="K759" s="1">
        <v>0.0</v>
      </c>
      <c r="L759" s="2" t="s">
        <v>384</v>
      </c>
      <c r="N759" s="2">
        <v>1.0</v>
      </c>
      <c r="P759" s="8">
        <f t="shared" si="1"/>
        <v>31383</v>
      </c>
    </row>
    <row r="760" ht="15.75" customHeight="1">
      <c r="A760" s="2">
        <v>1986.0</v>
      </c>
      <c r="B760" s="2">
        <v>1985.0</v>
      </c>
      <c r="C760" s="2">
        <v>11.0</v>
      </c>
      <c r="D760" s="2">
        <v>29.0</v>
      </c>
      <c r="E760" s="2" t="s">
        <v>930</v>
      </c>
      <c r="H760" s="2" t="s">
        <v>196</v>
      </c>
      <c r="I760" s="2" t="s">
        <v>18</v>
      </c>
      <c r="J760" s="1">
        <v>0.0</v>
      </c>
      <c r="K760" s="1">
        <v>0.0</v>
      </c>
      <c r="L760" s="2" t="s">
        <v>197</v>
      </c>
      <c r="M760" s="2" t="s">
        <v>25</v>
      </c>
      <c r="N760" s="2">
        <v>1.0</v>
      </c>
      <c r="P760" s="8">
        <f t="shared" si="1"/>
        <v>31380</v>
      </c>
    </row>
    <row r="761" ht="15.75" customHeight="1">
      <c r="A761" s="2">
        <v>1986.0</v>
      </c>
      <c r="B761" s="2">
        <v>1985.0</v>
      </c>
      <c r="C761" s="2">
        <v>11.0</v>
      </c>
      <c r="D761" s="2">
        <v>21.0</v>
      </c>
      <c r="E761" s="2" t="s">
        <v>931</v>
      </c>
      <c r="H761" s="2" t="s">
        <v>17</v>
      </c>
      <c r="I761" s="2" t="s">
        <v>35</v>
      </c>
      <c r="J761" s="1">
        <v>0.0</v>
      </c>
      <c r="K761" s="1">
        <v>0.0</v>
      </c>
      <c r="L761" s="2" t="s">
        <v>24</v>
      </c>
      <c r="M761" s="2" t="s">
        <v>25</v>
      </c>
      <c r="N761" s="2">
        <v>2.0</v>
      </c>
      <c r="P761" s="8">
        <f t="shared" si="1"/>
        <v>31372</v>
      </c>
    </row>
    <row r="762" ht="15.75" customHeight="1">
      <c r="A762" s="2">
        <v>1986.0</v>
      </c>
      <c r="B762" s="2">
        <v>1985.0</v>
      </c>
      <c r="C762" s="2">
        <v>11.0</v>
      </c>
      <c r="D762" s="2">
        <v>17.0</v>
      </c>
      <c r="E762" s="2" t="s">
        <v>932</v>
      </c>
      <c r="H762" s="2" t="s">
        <v>17</v>
      </c>
      <c r="I762" s="2" t="s">
        <v>35</v>
      </c>
      <c r="J762" s="1">
        <v>0.0</v>
      </c>
      <c r="K762" s="1">
        <v>0.0</v>
      </c>
      <c r="L762" s="2" t="s">
        <v>933</v>
      </c>
      <c r="N762" s="2">
        <v>1.0</v>
      </c>
      <c r="P762" s="8">
        <f t="shared" si="1"/>
        <v>31368</v>
      </c>
    </row>
    <row r="763" ht="15.75" customHeight="1">
      <c r="A763" s="2">
        <v>1986.0</v>
      </c>
      <c r="B763" s="2">
        <v>1985.0</v>
      </c>
      <c r="C763" s="2">
        <v>11.0</v>
      </c>
      <c r="D763" s="2">
        <v>13.0</v>
      </c>
      <c r="E763" s="2" t="s">
        <v>934</v>
      </c>
      <c r="H763" s="2" t="s">
        <v>17</v>
      </c>
      <c r="I763" s="2" t="s">
        <v>40</v>
      </c>
      <c r="J763" s="1">
        <v>0.0</v>
      </c>
      <c r="K763" s="1">
        <v>0.0</v>
      </c>
      <c r="L763" s="2" t="s">
        <v>24</v>
      </c>
      <c r="M763" s="2" t="s">
        <v>25</v>
      </c>
      <c r="N763" s="2">
        <v>2.0</v>
      </c>
      <c r="P763" s="8">
        <f t="shared" si="1"/>
        <v>31364</v>
      </c>
    </row>
    <row r="764" ht="15.75" customHeight="1">
      <c r="A764" s="2">
        <v>1985.0</v>
      </c>
      <c r="B764" s="2">
        <v>1985.0</v>
      </c>
      <c r="C764" s="2">
        <v>5.0</v>
      </c>
      <c r="D764" s="2">
        <v>12.0</v>
      </c>
      <c r="E764" s="2" t="s">
        <v>935</v>
      </c>
      <c r="H764" s="2" t="s">
        <v>17</v>
      </c>
      <c r="I764" s="2" t="s">
        <v>77</v>
      </c>
      <c r="J764" s="1">
        <v>0.0</v>
      </c>
      <c r="K764" s="1">
        <v>0.0</v>
      </c>
      <c r="L764" s="2" t="s">
        <v>29</v>
      </c>
      <c r="N764" s="2">
        <v>1.0</v>
      </c>
      <c r="P764" s="8">
        <f t="shared" si="1"/>
        <v>31179</v>
      </c>
    </row>
    <row r="765" ht="15.75" customHeight="1">
      <c r="A765" s="2">
        <v>1985.0</v>
      </c>
      <c r="B765" s="2">
        <v>1985.0</v>
      </c>
      <c r="C765" s="2">
        <v>3.0</v>
      </c>
      <c r="D765" s="2">
        <v>24.0</v>
      </c>
      <c r="E765" s="2" t="s">
        <v>886</v>
      </c>
      <c r="H765" s="2" t="s">
        <v>17</v>
      </c>
      <c r="I765" s="2" t="s">
        <v>35</v>
      </c>
      <c r="J765" s="1">
        <v>0.0</v>
      </c>
      <c r="K765" s="1">
        <v>0.0</v>
      </c>
      <c r="L765" s="2" t="s">
        <v>24</v>
      </c>
      <c r="M765" s="2" t="s">
        <v>25</v>
      </c>
      <c r="N765" s="2">
        <v>1.0</v>
      </c>
      <c r="P765" s="8">
        <f t="shared" si="1"/>
        <v>31130</v>
      </c>
    </row>
    <row r="766" ht="15.75" customHeight="1">
      <c r="A766" s="2">
        <v>1985.0</v>
      </c>
      <c r="B766" s="2">
        <v>1985.0</v>
      </c>
      <c r="C766" s="2">
        <v>3.0</v>
      </c>
      <c r="D766" s="2">
        <v>19.0</v>
      </c>
      <c r="E766" s="2" t="s">
        <v>936</v>
      </c>
      <c r="H766" s="2" t="s">
        <v>196</v>
      </c>
      <c r="I766" s="2" t="s">
        <v>40</v>
      </c>
      <c r="J766" s="1">
        <v>0.0</v>
      </c>
      <c r="K766" s="1">
        <v>0.0</v>
      </c>
      <c r="L766" s="2" t="s">
        <v>51</v>
      </c>
      <c r="M766" s="2" t="s">
        <v>25</v>
      </c>
      <c r="N766" s="2">
        <v>1.0</v>
      </c>
      <c r="P766" s="8">
        <f t="shared" si="1"/>
        <v>31125</v>
      </c>
    </row>
    <row r="767" ht="15.75" customHeight="1">
      <c r="A767" s="2">
        <v>1985.0</v>
      </c>
      <c r="B767" s="2">
        <v>1985.0</v>
      </c>
      <c r="C767" s="2">
        <v>3.0</v>
      </c>
      <c r="D767" s="2">
        <v>10.0</v>
      </c>
      <c r="E767" s="2" t="s">
        <v>937</v>
      </c>
      <c r="H767" s="9" t="s">
        <v>17</v>
      </c>
      <c r="I767" s="2" t="s">
        <v>28</v>
      </c>
      <c r="J767" s="1">
        <v>0.0</v>
      </c>
      <c r="K767" s="1">
        <v>0.0</v>
      </c>
      <c r="L767" s="2" t="s">
        <v>24</v>
      </c>
      <c r="M767" s="2" t="s">
        <v>25</v>
      </c>
      <c r="N767" s="2">
        <v>1.0</v>
      </c>
      <c r="P767" s="8">
        <f t="shared" si="1"/>
        <v>31116</v>
      </c>
    </row>
    <row r="768" ht="15.75" customHeight="1">
      <c r="A768" s="2">
        <v>1985.0</v>
      </c>
      <c r="B768" s="2">
        <v>1985.0</v>
      </c>
      <c r="C768" s="2">
        <v>3.0</v>
      </c>
      <c r="D768" s="2">
        <v>2.0</v>
      </c>
      <c r="E768" s="2" t="s">
        <v>674</v>
      </c>
      <c r="H768" s="2" t="s">
        <v>17</v>
      </c>
      <c r="I768" s="2" t="s">
        <v>28</v>
      </c>
      <c r="J768" s="1">
        <v>0.0</v>
      </c>
      <c r="K768" s="1">
        <v>0.0</v>
      </c>
      <c r="L768" s="2" t="s">
        <v>45</v>
      </c>
      <c r="N768" s="2">
        <v>1.0</v>
      </c>
      <c r="P768" s="8">
        <f t="shared" si="1"/>
        <v>31108</v>
      </c>
    </row>
    <row r="769" ht="15.75" customHeight="1">
      <c r="A769" s="2">
        <v>1985.0</v>
      </c>
      <c r="B769" s="2">
        <v>1985.0</v>
      </c>
      <c r="C769" s="2">
        <v>2.0</v>
      </c>
      <c r="D769" s="2">
        <v>22.0</v>
      </c>
      <c r="E769" s="2" t="s">
        <v>938</v>
      </c>
      <c r="H769" s="2" t="s">
        <v>196</v>
      </c>
      <c r="I769" s="2" t="s">
        <v>40</v>
      </c>
      <c r="J769" s="1">
        <v>0.0</v>
      </c>
      <c r="K769" s="1">
        <v>0.0</v>
      </c>
      <c r="L769" s="2" t="s">
        <v>51</v>
      </c>
      <c r="M769" s="2" t="s">
        <v>25</v>
      </c>
      <c r="N769" s="2">
        <v>1.0</v>
      </c>
      <c r="P769" s="8">
        <f t="shared" si="1"/>
        <v>31100</v>
      </c>
    </row>
    <row r="770" ht="15.75" customHeight="1">
      <c r="A770" s="2">
        <v>1985.0</v>
      </c>
      <c r="B770" s="2">
        <v>1985.0</v>
      </c>
      <c r="C770" s="2">
        <v>2.0</v>
      </c>
      <c r="D770" s="2">
        <v>12.0</v>
      </c>
      <c r="E770" s="2" t="s">
        <v>939</v>
      </c>
      <c r="H770" s="2" t="s">
        <v>39</v>
      </c>
      <c r="I770" s="2" t="s">
        <v>85</v>
      </c>
      <c r="J770" s="1">
        <v>0.0</v>
      </c>
      <c r="K770" s="1">
        <v>0.0</v>
      </c>
      <c r="L770" s="2" t="s">
        <v>402</v>
      </c>
      <c r="N770" s="2">
        <v>1.0</v>
      </c>
      <c r="P770" s="8">
        <f t="shared" si="1"/>
        <v>31090</v>
      </c>
    </row>
    <row r="771" ht="15.75" customHeight="1">
      <c r="A771" s="2">
        <v>1985.0</v>
      </c>
      <c r="B771" s="2">
        <v>1985.0</v>
      </c>
      <c r="C771" s="2">
        <v>2.0</v>
      </c>
      <c r="D771" s="2">
        <v>9.0</v>
      </c>
      <c r="E771" s="2" t="s">
        <v>940</v>
      </c>
      <c r="H771" s="1" t="s">
        <v>17</v>
      </c>
      <c r="I771" s="2" t="s">
        <v>49</v>
      </c>
      <c r="J771" s="1">
        <v>0.0</v>
      </c>
      <c r="K771" s="1">
        <v>0.0</v>
      </c>
      <c r="L771" s="2" t="s">
        <v>24</v>
      </c>
      <c r="M771" s="2" t="s">
        <v>25</v>
      </c>
      <c r="N771" s="2">
        <v>1.0</v>
      </c>
      <c r="P771" s="8">
        <f t="shared" si="1"/>
        <v>31087</v>
      </c>
    </row>
    <row r="772" ht="15.75" customHeight="1">
      <c r="A772" s="2">
        <v>1985.0</v>
      </c>
      <c r="B772" s="2">
        <v>1985.0</v>
      </c>
      <c r="C772" s="2">
        <v>2.0</v>
      </c>
      <c r="D772" s="2">
        <v>9.0</v>
      </c>
      <c r="E772" s="2" t="s">
        <v>941</v>
      </c>
      <c r="H772" s="2" t="s">
        <v>17</v>
      </c>
      <c r="I772" s="2" t="s">
        <v>77</v>
      </c>
      <c r="J772" s="1">
        <v>0.0</v>
      </c>
      <c r="K772" s="1">
        <v>0.0</v>
      </c>
      <c r="L772" s="2" t="s">
        <v>29</v>
      </c>
      <c r="N772" s="2">
        <v>1.0</v>
      </c>
      <c r="P772" s="8">
        <f t="shared" si="1"/>
        <v>31087</v>
      </c>
    </row>
    <row r="773" ht="15.75" customHeight="1">
      <c r="A773" s="2">
        <v>1985.0</v>
      </c>
      <c r="B773" s="2">
        <v>1985.0</v>
      </c>
      <c r="C773" s="2">
        <v>2.0</v>
      </c>
      <c r="D773" s="2">
        <v>9.0</v>
      </c>
      <c r="E773" s="2" t="s">
        <v>942</v>
      </c>
      <c r="H773" s="2" t="s">
        <v>17</v>
      </c>
      <c r="I773" s="2" t="s">
        <v>74</v>
      </c>
      <c r="J773" s="1">
        <v>0.0</v>
      </c>
      <c r="K773" s="1">
        <v>0.0</v>
      </c>
      <c r="L773" s="2" t="s">
        <v>45</v>
      </c>
      <c r="N773" s="2">
        <v>1.0</v>
      </c>
      <c r="P773" s="8">
        <f t="shared" si="1"/>
        <v>31087</v>
      </c>
    </row>
    <row r="774" ht="15.75" customHeight="1">
      <c r="A774" s="2">
        <v>1985.0</v>
      </c>
      <c r="B774" s="2">
        <v>1985.0</v>
      </c>
      <c r="C774" s="2">
        <v>2.0</v>
      </c>
      <c r="D774" s="2">
        <v>3.0</v>
      </c>
      <c r="E774" s="2" t="s">
        <v>943</v>
      </c>
      <c r="H774" s="9" t="s">
        <v>17</v>
      </c>
      <c r="I774" s="2" t="s">
        <v>74</v>
      </c>
      <c r="J774" s="1">
        <v>0.0</v>
      </c>
      <c r="K774" s="1">
        <v>0.0</v>
      </c>
      <c r="L774" s="2" t="s">
        <v>29</v>
      </c>
      <c r="N774" s="2">
        <v>1.0</v>
      </c>
      <c r="P774" s="8">
        <f t="shared" si="1"/>
        <v>31081</v>
      </c>
    </row>
    <row r="775" ht="15.75" customHeight="1">
      <c r="A775" s="2">
        <v>1985.0</v>
      </c>
      <c r="B775" s="2">
        <v>1984.0</v>
      </c>
      <c r="C775" s="2">
        <v>12.0</v>
      </c>
      <c r="D775" s="2">
        <v>31.0</v>
      </c>
      <c r="E775" s="2" t="s">
        <v>944</v>
      </c>
      <c r="H775" s="2" t="s">
        <v>17</v>
      </c>
      <c r="I775" s="2" t="s">
        <v>35</v>
      </c>
      <c r="J775" s="1">
        <v>0.0</v>
      </c>
      <c r="K775" s="1">
        <v>0.0</v>
      </c>
      <c r="L775" s="2" t="s">
        <v>24</v>
      </c>
      <c r="M775" s="2" t="s">
        <v>25</v>
      </c>
      <c r="N775" s="2">
        <v>1.0</v>
      </c>
      <c r="P775" s="8">
        <f t="shared" si="1"/>
        <v>31047</v>
      </c>
    </row>
    <row r="776" ht="15.75" customHeight="1">
      <c r="A776" s="2">
        <v>1985.0</v>
      </c>
      <c r="B776" s="2">
        <v>1984.0</v>
      </c>
      <c r="C776" s="2">
        <v>12.0</v>
      </c>
      <c r="D776" s="2">
        <v>13.0</v>
      </c>
      <c r="E776" s="2" t="s">
        <v>945</v>
      </c>
      <c r="H776" s="2" t="s">
        <v>17</v>
      </c>
      <c r="I776" s="2" t="s">
        <v>35</v>
      </c>
      <c r="J776" s="1">
        <v>0.0</v>
      </c>
      <c r="K776" s="1">
        <v>0.0</v>
      </c>
      <c r="L776" s="2" t="s">
        <v>24</v>
      </c>
      <c r="M776" s="2" t="s">
        <v>25</v>
      </c>
      <c r="N776" s="2">
        <v>1.0</v>
      </c>
      <c r="P776" s="8">
        <f t="shared" si="1"/>
        <v>31029</v>
      </c>
    </row>
    <row r="777" ht="15.75" customHeight="1">
      <c r="A777" s="2">
        <v>1985.0</v>
      </c>
      <c r="B777" s="2">
        <v>1984.0</v>
      </c>
      <c r="C777" s="2">
        <v>10.0</v>
      </c>
      <c r="D777" s="2">
        <v>17.0</v>
      </c>
      <c r="E777" s="2" t="s">
        <v>946</v>
      </c>
      <c r="H777" s="2" t="s">
        <v>17</v>
      </c>
      <c r="I777" s="2" t="s">
        <v>35</v>
      </c>
      <c r="J777" s="1">
        <v>0.0</v>
      </c>
      <c r="K777" s="1">
        <v>0.0</v>
      </c>
      <c r="L777" s="2" t="s">
        <v>24</v>
      </c>
      <c r="M777" s="2" t="s">
        <v>25</v>
      </c>
      <c r="N777" s="2">
        <v>1.0</v>
      </c>
      <c r="P777" s="8">
        <f t="shared" si="1"/>
        <v>30972</v>
      </c>
    </row>
    <row r="778" ht="15.75" customHeight="1">
      <c r="A778" s="2">
        <v>1984.0</v>
      </c>
      <c r="B778" s="2">
        <v>1984.0</v>
      </c>
      <c r="C778" s="2">
        <v>6.0</v>
      </c>
      <c r="D778" s="2">
        <v>18.0</v>
      </c>
      <c r="E778" s="2" t="s">
        <v>947</v>
      </c>
      <c r="H778" s="2" t="s">
        <v>17</v>
      </c>
      <c r="I778" s="2" t="s">
        <v>35</v>
      </c>
      <c r="J778" s="1">
        <v>0.0</v>
      </c>
      <c r="K778" s="1">
        <v>0.0</v>
      </c>
      <c r="L778" s="2" t="s">
        <v>24</v>
      </c>
      <c r="M778" s="2" t="s">
        <v>25</v>
      </c>
      <c r="N778" s="2">
        <v>1.0</v>
      </c>
      <c r="P778" s="8">
        <f t="shared" si="1"/>
        <v>30851</v>
      </c>
    </row>
    <row r="779" ht="15.75" customHeight="1">
      <c r="A779" s="2">
        <v>1984.0</v>
      </c>
      <c r="B779" s="2">
        <v>1984.0</v>
      </c>
      <c r="C779" s="2">
        <v>5.0</v>
      </c>
      <c r="D779" s="2">
        <v>27.0</v>
      </c>
      <c r="E779" s="2" t="s">
        <v>948</v>
      </c>
      <c r="H779" s="2" t="s">
        <v>17</v>
      </c>
      <c r="I779" s="2" t="s">
        <v>77</v>
      </c>
      <c r="J779" s="1">
        <v>0.0</v>
      </c>
      <c r="K779" s="1">
        <v>0.0</v>
      </c>
      <c r="L779" s="2" t="s">
        <v>29</v>
      </c>
      <c r="N779" s="2">
        <v>1.0</v>
      </c>
      <c r="P779" s="8">
        <f t="shared" si="1"/>
        <v>30829</v>
      </c>
    </row>
    <row r="780" ht="15.75" customHeight="1">
      <c r="A780" s="2">
        <v>1984.0</v>
      </c>
      <c r="B780" s="2">
        <v>1984.0</v>
      </c>
      <c r="C780" s="2">
        <v>4.0</v>
      </c>
      <c r="D780" s="2">
        <v>14.0</v>
      </c>
      <c r="E780" s="2" t="s">
        <v>949</v>
      </c>
      <c r="H780" s="2" t="s">
        <v>17</v>
      </c>
      <c r="I780" s="2" t="s">
        <v>35</v>
      </c>
      <c r="J780" s="1">
        <v>0.0</v>
      </c>
      <c r="K780" s="1">
        <v>0.0</v>
      </c>
      <c r="L780" s="2" t="s">
        <v>29</v>
      </c>
      <c r="N780" s="2">
        <v>1.0</v>
      </c>
      <c r="P780" s="8">
        <f t="shared" si="1"/>
        <v>30786</v>
      </c>
    </row>
    <row r="781" ht="15.75" customHeight="1">
      <c r="A781" s="2">
        <v>1984.0</v>
      </c>
      <c r="B781" s="2">
        <v>1984.0</v>
      </c>
      <c r="C781" s="2">
        <v>4.0</v>
      </c>
      <c r="D781" s="2">
        <v>2.0</v>
      </c>
      <c r="E781" s="2" t="s">
        <v>950</v>
      </c>
      <c r="H781" s="9" t="s">
        <v>17</v>
      </c>
      <c r="I781" s="2" t="s">
        <v>28</v>
      </c>
      <c r="J781" s="1">
        <v>0.0</v>
      </c>
      <c r="K781" s="1">
        <v>0.0</v>
      </c>
      <c r="L781" s="2" t="s">
        <v>29</v>
      </c>
      <c r="N781" s="2">
        <v>1.0</v>
      </c>
      <c r="P781" s="8">
        <f t="shared" si="1"/>
        <v>30774</v>
      </c>
    </row>
    <row r="782" ht="15.75" customHeight="1">
      <c r="A782" s="2">
        <v>1984.0</v>
      </c>
      <c r="B782" s="2">
        <v>1984.0</v>
      </c>
      <c r="C782" s="2">
        <v>3.0</v>
      </c>
      <c r="D782" s="2">
        <v>31.0</v>
      </c>
      <c r="E782" s="2" t="s">
        <v>702</v>
      </c>
      <c r="H782" s="2" t="s">
        <v>17</v>
      </c>
      <c r="I782" s="2" t="s">
        <v>35</v>
      </c>
      <c r="J782" s="1">
        <v>0.0</v>
      </c>
      <c r="K782" s="1">
        <v>0.0</v>
      </c>
      <c r="L782" s="2" t="s">
        <v>384</v>
      </c>
      <c r="M782" s="2" t="s">
        <v>25</v>
      </c>
      <c r="N782" s="2">
        <v>3.0</v>
      </c>
      <c r="P782" s="8">
        <f t="shared" si="1"/>
        <v>30772</v>
      </c>
    </row>
    <row r="783" ht="15.75" customHeight="1">
      <c r="A783" s="2">
        <v>1984.0</v>
      </c>
      <c r="B783" s="2">
        <v>1984.0</v>
      </c>
      <c r="C783" s="2">
        <v>3.0</v>
      </c>
      <c r="D783" s="2">
        <v>19.0</v>
      </c>
      <c r="E783" s="2" t="s">
        <v>951</v>
      </c>
      <c r="H783" s="2" t="s">
        <v>17</v>
      </c>
      <c r="I783" s="2" t="s">
        <v>35</v>
      </c>
      <c r="J783" s="1">
        <v>0.0</v>
      </c>
      <c r="K783" s="1">
        <v>0.0</v>
      </c>
      <c r="L783" s="2" t="s">
        <v>24</v>
      </c>
      <c r="M783" s="2" t="s">
        <v>25</v>
      </c>
      <c r="N783" s="2">
        <v>1.0</v>
      </c>
      <c r="P783" s="8">
        <f t="shared" si="1"/>
        <v>30760</v>
      </c>
    </row>
    <row r="784" ht="15.75" customHeight="1">
      <c r="A784" s="2">
        <v>1984.0</v>
      </c>
      <c r="B784" s="2">
        <v>1984.0</v>
      </c>
      <c r="C784" s="2">
        <v>3.0</v>
      </c>
      <c r="D784" s="2">
        <v>17.0</v>
      </c>
      <c r="E784" s="2" t="s">
        <v>952</v>
      </c>
      <c r="H784" s="2" t="s">
        <v>17</v>
      </c>
      <c r="I784" s="2" t="s">
        <v>35</v>
      </c>
      <c r="J784" s="1">
        <v>0.0</v>
      </c>
      <c r="K784" s="1">
        <v>0.0</v>
      </c>
      <c r="L784" s="2" t="s">
        <v>24</v>
      </c>
      <c r="M784" s="2" t="s">
        <v>25</v>
      </c>
      <c r="N784" s="2">
        <v>1.0</v>
      </c>
      <c r="P784" s="8">
        <f t="shared" si="1"/>
        <v>30758</v>
      </c>
    </row>
    <row r="785" ht="15.75" customHeight="1">
      <c r="A785" s="2">
        <v>1984.0</v>
      </c>
      <c r="B785" s="2">
        <v>1984.0</v>
      </c>
      <c r="C785" s="2">
        <v>2.0</v>
      </c>
      <c r="D785" s="2">
        <v>16.0</v>
      </c>
      <c r="E785" s="2" t="s">
        <v>953</v>
      </c>
      <c r="H785" s="2" t="s">
        <v>196</v>
      </c>
      <c r="I785" s="2" t="s">
        <v>74</v>
      </c>
      <c r="J785" s="1">
        <v>0.0</v>
      </c>
      <c r="K785" s="1">
        <v>0.0</v>
      </c>
      <c r="L785" s="2" t="s">
        <v>51</v>
      </c>
      <c r="M785" s="2" t="s">
        <v>25</v>
      </c>
      <c r="N785" s="2">
        <v>1.0</v>
      </c>
      <c r="P785" s="8">
        <f t="shared" si="1"/>
        <v>30728</v>
      </c>
    </row>
    <row r="786" ht="15.75" customHeight="1">
      <c r="A786" s="2">
        <v>1984.0</v>
      </c>
      <c r="B786" s="2">
        <v>1984.0</v>
      </c>
      <c r="C786" s="2">
        <v>2.0</v>
      </c>
      <c r="D786" s="2">
        <v>8.0</v>
      </c>
      <c r="E786" s="2" t="s">
        <v>954</v>
      </c>
      <c r="H786" s="9" t="s">
        <v>17</v>
      </c>
      <c r="I786" s="2" t="s">
        <v>955</v>
      </c>
      <c r="J786" s="1">
        <v>0.0</v>
      </c>
      <c r="K786" s="1">
        <v>0.0</v>
      </c>
      <c r="L786" s="2" t="s">
        <v>29</v>
      </c>
      <c r="N786" s="2">
        <v>2.0</v>
      </c>
      <c r="P786" s="8">
        <f t="shared" si="1"/>
        <v>30720</v>
      </c>
    </row>
    <row r="787" ht="15.75" customHeight="1">
      <c r="A787" s="2">
        <v>1984.0</v>
      </c>
      <c r="B787" s="2">
        <v>1984.0</v>
      </c>
      <c r="C787" s="2">
        <v>1.0</v>
      </c>
      <c r="D787" s="2">
        <v>26.0</v>
      </c>
      <c r="E787" s="2" t="s">
        <v>956</v>
      </c>
      <c r="H787" s="2" t="s">
        <v>39</v>
      </c>
      <c r="I787" s="2" t="s">
        <v>35</v>
      </c>
      <c r="J787" s="1">
        <v>0.0</v>
      </c>
      <c r="K787" s="1">
        <v>0.0</v>
      </c>
      <c r="L787" s="2" t="s">
        <v>41</v>
      </c>
      <c r="M787" s="2" t="s">
        <v>20</v>
      </c>
      <c r="N787" s="2">
        <v>1.0</v>
      </c>
      <c r="P787" s="8">
        <f t="shared" si="1"/>
        <v>30707</v>
      </c>
    </row>
    <row r="788" ht="15.75" customHeight="1">
      <c r="A788" s="2">
        <v>1984.0</v>
      </c>
      <c r="B788" s="2">
        <v>1984.0</v>
      </c>
      <c r="C788" s="2">
        <v>1.0</v>
      </c>
      <c r="D788" s="2">
        <v>2.0</v>
      </c>
      <c r="E788" s="2" t="s">
        <v>925</v>
      </c>
      <c r="H788" s="2" t="s">
        <v>17</v>
      </c>
      <c r="I788" s="2" t="s">
        <v>40</v>
      </c>
      <c r="J788" s="1">
        <v>0.0</v>
      </c>
      <c r="K788" s="1">
        <v>0.0</v>
      </c>
      <c r="L788" s="2" t="s">
        <v>24</v>
      </c>
      <c r="M788" s="2" t="s">
        <v>25</v>
      </c>
      <c r="N788" s="2">
        <v>1.0</v>
      </c>
      <c r="P788" s="8">
        <f t="shared" si="1"/>
        <v>30683</v>
      </c>
    </row>
    <row r="789" ht="15.75" customHeight="1">
      <c r="A789" s="2">
        <v>1984.0</v>
      </c>
      <c r="B789" s="2">
        <v>1983.0</v>
      </c>
      <c r="C789" s="2">
        <v>12.0</v>
      </c>
      <c r="D789" s="2">
        <v>18.0</v>
      </c>
      <c r="E789" s="2" t="s">
        <v>957</v>
      </c>
      <c r="H789" s="2" t="s">
        <v>196</v>
      </c>
      <c r="I789" s="2" t="s">
        <v>35</v>
      </c>
      <c r="J789" s="1">
        <v>0.0</v>
      </c>
      <c r="K789" s="1">
        <v>0.0</v>
      </c>
      <c r="L789" s="2" t="s">
        <v>384</v>
      </c>
      <c r="N789" s="2">
        <v>1.0</v>
      </c>
      <c r="P789" s="8">
        <f t="shared" si="1"/>
        <v>30668</v>
      </c>
    </row>
    <row r="790" ht="15.75" customHeight="1">
      <c r="A790" s="2">
        <v>1983.0</v>
      </c>
      <c r="B790" s="2">
        <v>1983.0</v>
      </c>
      <c r="C790" s="2">
        <v>6.0</v>
      </c>
      <c r="D790" s="2">
        <v>26.0</v>
      </c>
      <c r="E790" s="2" t="s">
        <v>958</v>
      </c>
      <c r="H790" s="2" t="s">
        <v>17</v>
      </c>
      <c r="I790" s="2" t="s">
        <v>77</v>
      </c>
      <c r="J790" s="1">
        <v>0.0</v>
      </c>
      <c r="K790" s="1">
        <v>0.0</v>
      </c>
      <c r="L790" s="2" t="s">
        <v>29</v>
      </c>
      <c r="N790" s="2">
        <v>2.0</v>
      </c>
      <c r="P790" s="8">
        <f t="shared" si="1"/>
        <v>30493</v>
      </c>
    </row>
    <row r="791" ht="15.75" customHeight="1">
      <c r="A791" s="2">
        <v>1983.0</v>
      </c>
      <c r="B791" s="2">
        <v>1983.0</v>
      </c>
      <c r="C791" s="2">
        <v>4.0</v>
      </c>
      <c r="D791" s="2">
        <v>16.0</v>
      </c>
      <c r="E791" s="2" t="s">
        <v>959</v>
      </c>
      <c r="H791" s="2" t="s">
        <v>17</v>
      </c>
      <c r="I791" s="2" t="s">
        <v>77</v>
      </c>
      <c r="J791" s="1">
        <v>0.0</v>
      </c>
      <c r="K791" s="1">
        <v>0.0</v>
      </c>
      <c r="L791" s="2" t="s">
        <v>19</v>
      </c>
      <c r="N791" s="2">
        <v>1.0</v>
      </c>
      <c r="P791" s="8">
        <f t="shared" si="1"/>
        <v>30422</v>
      </c>
    </row>
    <row r="792" ht="15.75" customHeight="1">
      <c r="A792" s="2">
        <v>1983.0</v>
      </c>
      <c r="B792" s="2">
        <v>1983.0</v>
      </c>
      <c r="C792" s="2">
        <v>4.0</v>
      </c>
      <c r="D792" s="2">
        <v>2.0</v>
      </c>
      <c r="E792" s="2" t="s">
        <v>960</v>
      </c>
      <c r="H792" s="9" t="s">
        <v>17</v>
      </c>
      <c r="I792" s="2" t="s">
        <v>18</v>
      </c>
      <c r="J792" s="1">
        <v>0.0</v>
      </c>
      <c r="K792" s="1">
        <v>0.0</v>
      </c>
      <c r="L792" s="2" t="s">
        <v>29</v>
      </c>
      <c r="N792" s="2">
        <v>1.0</v>
      </c>
      <c r="P792" s="8">
        <f t="shared" si="1"/>
        <v>30408</v>
      </c>
    </row>
    <row r="793" ht="15.75" customHeight="1">
      <c r="A793" s="2">
        <v>1983.0</v>
      </c>
      <c r="B793" s="2">
        <v>1983.0</v>
      </c>
      <c r="C793" s="2">
        <v>3.0</v>
      </c>
      <c r="D793" s="2">
        <v>12.0</v>
      </c>
      <c r="E793" s="2" t="s">
        <v>961</v>
      </c>
      <c r="H793" s="2" t="s">
        <v>17</v>
      </c>
      <c r="I793" s="2" t="s">
        <v>35</v>
      </c>
      <c r="J793" s="1">
        <v>0.0</v>
      </c>
      <c r="K793" s="1">
        <v>0.0</v>
      </c>
      <c r="L793" s="2" t="s">
        <v>45</v>
      </c>
      <c r="N793" s="2">
        <v>1.0</v>
      </c>
      <c r="P793" s="8">
        <f t="shared" si="1"/>
        <v>30387</v>
      </c>
    </row>
    <row r="794" ht="15.75" customHeight="1">
      <c r="A794" s="2">
        <v>1983.0</v>
      </c>
      <c r="B794" s="2">
        <v>1983.0</v>
      </c>
      <c r="C794" s="2">
        <v>3.0</v>
      </c>
      <c r="D794" s="2">
        <v>9.0</v>
      </c>
      <c r="E794" s="2" t="s">
        <v>867</v>
      </c>
      <c r="H794" s="2" t="s">
        <v>196</v>
      </c>
      <c r="I794" s="2" t="s">
        <v>35</v>
      </c>
      <c r="J794" s="1">
        <v>0.0</v>
      </c>
      <c r="K794" s="1">
        <v>0.0</v>
      </c>
      <c r="L794" s="2" t="s">
        <v>51</v>
      </c>
      <c r="M794" s="2" t="s">
        <v>25</v>
      </c>
      <c r="N794" s="2">
        <v>1.0</v>
      </c>
      <c r="P794" s="8">
        <f t="shared" si="1"/>
        <v>30384</v>
      </c>
    </row>
    <row r="795" ht="15.75" customHeight="1">
      <c r="A795" s="2">
        <v>1983.0</v>
      </c>
      <c r="B795" s="2">
        <v>1983.0</v>
      </c>
      <c r="C795" s="2">
        <v>3.0</v>
      </c>
      <c r="D795" s="2">
        <v>6.0</v>
      </c>
      <c r="E795" s="2" t="s">
        <v>962</v>
      </c>
      <c r="H795" s="2" t="s">
        <v>17</v>
      </c>
      <c r="I795" s="2" t="s">
        <v>35</v>
      </c>
      <c r="J795" s="1">
        <v>0.0</v>
      </c>
      <c r="K795" s="1">
        <v>0.0</v>
      </c>
      <c r="L795" s="2" t="s">
        <v>24</v>
      </c>
      <c r="M795" s="2" t="s">
        <v>25</v>
      </c>
      <c r="N795" s="2">
        <v>1.0</v>
      </c>
      <c r="P795" s="8">
        <f t="shared" si="1"/>
        <v>30381</v>
      </c>
    </row>
    <row r="796" ht="15.75" customHeight="1">
      <c r="A796" s="2">
        <v>1983.0</v>
      </c>
      <c r="B796" s="2">
        <v>1983.0</v>
      </c>
      <c r="C796" s="2">
        <v>2.0</v>
      </c>
      <c r="D796" s="2">
        <v>19.0</v>
      </c>
      <c r="E796" s="2" t="s">
        <v>963</v>
      </c>
      <c r="H796" s="2" t="s">
        <v>17</v>
      </c>
      <c r="I796" s="2" t="s">
        <v>85</v>
      </c>
      <c r="J796" s="1">
        <v>0.0</v>
      </c>
      <c r="K796" s="1">
        <v>0.0</v>
      </c>
      <c r="L796" s="2" t="s">
        <v>24</v>
      </c>
      <c r="M796" s="2" t="s">
        <v>25</v>
      </c>
      <c r="N796" s="2">
        <v>1.0</v>
      </c>
      <c r="P796" s="8">
        <f t="shared" si="1"/>
        <v>30366</v>
      </c>
    </row>
    <row r="797" ht="15.75" customHeight="1">
      <c r="A797" s="2">
        <v>1983.0</v>
      </c>
      <c r="B797" s="2">
        <v>1983.0</v>
      </c>
      <c r="C797" s="2">
        <v>1.0</v>
      </c>
      <c r="D797" s="2">
        <v>30.0</v>
      </c>
      <c r="E797" s="2" t="s">
        <v>964</v>
      </c>
      <c r="H797" s="2" t="s">
        <v>196</v>
      </c>
      <c r="I797" s="2" t="s">
        <v>35</v>
      </c>
      <c r="J797" s="1">
        <v>0.0</v>
      </c>
      <c r="K797" s="1">
        <v>0.0</v>
      </c>
      <c r="L797" s="2" t="s">
        <v>24</v>
      </c>
      <c r="M797" s="2" t="s">
        <v>25</v>
      </c>
      <c r="N797" s="2">
        <v>1.0</v>
      </c>
      <c r="P797" s="8">
        <f t="shared" si="1"/>
        <v>30346</v>
      </c>
    </row>
    <row r="798" ht="15.75" customHeight="1">
      <c r="A798" s="2">
        <v>1983.0</v>
      </c>
      <c r="B798" s="2">
        <v>1983.0</v>
      </c>
      <c r="C798" s="2">
        <v>1.0</v>
      </c>
      <c r="D798" s="2">
        <v>1.0</v>
      </c>
      <c r="E798" s="2" t="s">
        <v>881</v>
      </c>
      <c r="H798" s="2" t="s">
        <v>17</v>
      </c>
      <c r="I798" s="2" t="s">
        <v>49</v>
      </c>
      <c r="J798" s="1">
        <v>0.0</v>
      </c>
      <c r="K798" s="1">
        <v>0.0</v>
      </c>
      <c r="L798" s="2" t="s">
        <v>45</v>
      </c>
      <c r="N798" s="2">
        <v>1.0</v>
      </c>
      <c r="P798" s="8">
        <f t="shared" si="1"/>
        <v>30317</v>
      </c>
    </row>
    <row r="799" ht="15.75" customHeight="1">
      <c r="A799" s="2">
        <v>1983.0</v>
      </c>
      <c r="B799" s="2">
        <v>1982.0</v>
      </c>
      <c r="C799" s="2">
        <v>12.0</v>
      </c>
      <c r="D799" s="2">
        <v>25.0</v>
      </c>
      <c r="E799" s="2" t="s">
        <v>887</v>
      </c>
      <c r="H799" s="2" t="s">
        <v>17</v>
      </c>
      <c r="I799" s="2" t="s">
        <v>35</v>
      </c>
      <c r="J799" s="1">
        <v>0.0</v>
      </c>
      <c r="K799" s="1">
        <v>0.0</v>
      </c>
      <c r="L799" s="2" t="s">
        <v>24</v>
      </c>
      <c r="M799" s="2" t="s">
        <v>25</v>
      </c>
      <c r="N799" s="2">
        <v>1.0</v>
      </c>
      <c r="P799" s="8">
        <f t="shared" si="1"/>
        <v>30310</v>
      </c>
    </row>
    <row r="800" ht="15.75" customHeight="1">
      <c r="A800" s="2">
        <v>1983.0</v>
      </c>
      <c r="B800" s="2">
        <v>1982.0</v>
      </c>
      <c r="C800" s="2">
        <v>12.0</v>
      </c>
      <c r="D800" s="2">
        <v>24.0</v>
      </c>
      <c r="E800" s="2" t="s">
        <v>965</v>
      </c>
      <c r="H800" s="2" t="s">
        <v>196</v>
      </c>
      <c r="I800" s="2" t="s">
        <v>85</v>
      </c>
      <c r="J800" s="1">
        <v>0.0</v>
      </c>
      <c r="K800" s="1">
        <v>0.0</v>
      </c>
      <c r="L800" s="2" t="s">
        <v>384</v>
      </c>
      <c r="N800" s="2">
        <v>1.0</v>
      </c>
      <c r="P800" s="8">
        <f t="shared" si="1"/>
        <v>30309</v>
      </c>
    </row>
    <row r="801" ht="15.75" customHeight="1">
      <c r="A801" s="2">
        <v>1983.0</v>
      </c>
      <c r="B801" s="2">
        <v>1982.0</v>
      </c>
      <c r="C801" s="2">
        <v>12.0</v>
      </c>
      <c r="D801" s="2">
        <v>19.0</v>
      </c>
      <c r="E801" s="2" t="s">
        <v>706</v>
      </c>
      <c r="H801" s="2" t="s">
        <v>17</v>
      </c>
      <c r="I801" s="2" t="s">
        <v>85</v>
      </c>
      <c r="J801" s="1">
        <v>0.0</v>
      </c>
      <c r="K801" s="1">
        <v>0.0</v>
      </c>
      <c r="L801" s="2" t="s">
        <v>45</v>
      </c>
      <c r="N801" s="2">
        <v>1.0</v>
      </c>
      <c r="P801" s="8">
        <f t="shared" si="1"/>
        <v>30304</v>
      </c>
    </row>
    <row r="802" ht="15.75" customHeight="1">
      <c r="A802" s="2">
        <v>1983.0</v>
      </c>
      <c r="B802" s="2">
        <v>1982.0</v>
      </c>
      <c r="C802" s="2">
        <v>11.0</v>
      </c>
      <c r="D802" s="2">
        <v>14.0</v>
      </c>
      <c r="E802" s="2" t="s">
        <v>966</v>
      </c>
      <c r="H802" s="2" t="s">
        <v>17</v>
      </c>
      <c r="I802" s="2" t="s">
        <v>49</v>
      </c>
      <c r="J802" s="1">
        <v>0.0</v>
      </c>
      <c r="K802" s="1">
        <v>0.0</v>
      </c>
      <c r="L802" s="2" t="s">
        <v>738</v>
      </c>
      <c r="N802" s="2">
        <v>1.0</v>
      </c>
      <c r="P802" s="8">
        <f t="shared" si="1"/>
        <v>30269</v>
      </c>
    </row>
    <row r="803" ht="15.75" customHeight="1">
      <c r="A803" s="2">
        <v>1982.0</v>
      </c>
      <c r="B803" s="2">
        <v>1982.0</v>
      </c>
      <c r="C803" s="2">
        <v>6.0</v>
      </c>
      <c r="D803" s="2">
        <v>20.0</v>
      </c>
      <c r="E803" s="2" t="s">
        <v>777</v>
      </c>
      <c r="H803" s="2" t="s">
        <v>17</v>
      </c>
      <c r="I803" s="2" t="s">
        <v>59</v>
      </c>
      <c r="J803" s="1">
        <v>0.0</v>
      </c>
      <c r="K803" s="1">
        <v>0.0</v>
      </c>
      <c r="L803" s="2" t="s">
        <v>29</v>
      </c>
      <c r="N803" s="2">
        <v>1.0</v>
      </c>
      <c r="P803" s="8">
        <f t="shared" si="1"/>
        <v>30122</v>
      </c>
    </row>
    <row r="804" ht="15.75" customHeight="1">
      <c r="A804" s="2">
        <v>1982.0</v>
      </c>
      <c r="B804" s="2">
        <v>1982.0</v>
      </c>
      <c r="C804" s="2">
        <v>4.0</v>
      </c>
      <c r="D804" s="2">
        <v>3.0</v>
      </c>
      <c r="E804" s="2" t="s">
        <v>967</v>
      </c>
      <c r="H804" s="9" t="s">
        <v>17</v>
      </c>
      <c r="I804" s="2" t="s">
        <v>28</v>
      </c>
      <c r="J804" s="1">
        <v>0.0</v>
      </c>
      <c r="K804" s="1">
        <v>0.0</v>
      </c>
      <c r="L804" s="2" t="s">
        <v>24</v>
      </c>
      <c r="M804" s="2" t="s">
        <v>25</v>
      </c>
      <c r="N804" s="2">
        <v>1.0</v>
      </c>
      <c r="P804" s="8">
        <f t="shared" si="1"/>
        <v>30044</v>
      </c>
    </row>
    <row r="805" ht="15.75" customHeight="1">
      <c r="A805" s="2">
        <v>1982.0</v>
      </c>
      <c r="B805" s="2">
        <v>1982.0</v>
      </c>
      <c r="C805" s="2">
        <v>3.0</v>
      </c>
      <c r="D805" s="2">
        <v>31.0</v>
      </c>
      <c r="E805" s="2" t="s">
        <v>968</v>
      </c>
      <c r="H805" s="2" t="s">
        <v>196</v>
      </c>
      <c r="I805" s="2" t="s">
        <v>18</v>
      </c>
      <c r="J805" s="1">
        <v>0.0</v>
      </c>
      <c r="K805" s="1">
        <v>0.0</v>
      </c>
      <c r="L805" s="2" t="s">
        <v>652</v>
      </c>
      <c r="M805" s="2" t="s">
        <v>20</v>
      </c>
      <c r="N805" s="2">
        <v>4.0</v>
      </c>
      <c r="P805" s="8">
        <f t="shared" si="1"/>
        <v>30041</v>
      </c>
    </row>
    <row r="806" ht="15.75" customHeight="1">
      <c r="A806" s="2">
        <v>1982.0</v>
      </c>
      <c r="B806" s="2">
        <v>1982.0</v>
      </c>
      <c r="C806" s="2">
        <v>3.0</v>
      </c>
      <c r="D806" s="2">
        <v>31.0</v>
      </c>
      <c r="E806" s="2" t="s">
        <v>968</v>
      </c>
      <c r="H806" s="2" t="s">
        <v>196</v>
      </c>
      <c r="I806" s="2" t="s">
        <v>18</v>
      </c>
      <c r="J806" s="1">
        <v>0.0</v>
      </c>
      <c r="K806" s="1">
        <v>0.0</v>
      </c>
      <c r="L806" s="2" t="s">
        <v>384</v>
      </c>
      <c r="M806" s="2" t="s">
        <v>25</v>
      </c>
      <c r="N806" s="2">
        <v>3.0</v>
      </c>
      <c r="P806" s="8">
        <f t="shared" si="1"/>
        <v>30041</v>
      </c>
    </row>
    <row r="807" ht="15.75" customHeight="1">
      <c r="A807" s="2">
        <v>1982.0</v>
      </c>
      <c r="B807" s="2">
        <v>1982.0</v>
      </c>
      <c r="C807" s="2">
        <v>3.0</v>
      </c>
      <c r="D807" s="2">
        <v>22.0</v>
      </c>
      <c r="E807" s="2" t="s">
        <v>969</v>
      </c>
      <c r="H807" s="2" t="s">
        <v>196</v>
      </c>
      <c r="I807" s="2" t="s">
        <v>40</v>
      </c>
      <c r="J807" s="1">
        <v>0.0</v>
      </c>
      <c r="K807" s="1">
        <v>0.0</v>
      </c>
      <c r="L807" s="2" t="s">
        <v>51</v>
      </c>
      <c r="M807" s="2" t="s">
        <v>25</v>
      </c>
      <c r="N807" s="2">
        <v>1.0</v>
      </c>
      <c r="P807" s="8">
        <f t="shared" si="1"/>
        <v>30032</v>
      </c>
    </row>
    <row r="808" ht="15.75" customHeight="1">
      <c r="A808" s="2">
        <v>1982.0</v>
      </c>
      <c r="B808" s="2">
        <v>1982.0</v>
      </c>
      <c r="C808" s="2">
        <v>3.0</v>
      </c>
      <c r="D808" s="2">
        <v>13.0</v>
      </c>
      <c r="E808" s="2" t="s">
        <v>615</v>
      </c>
      <c r="H808" s="2" t="s">
        <v>196</v>
      </c>
      <c r="I808" s="2" t="s">
        <v>35</v>
      </c>
      <c r="J808" s="1">
        <v>0.0</v>
      </c>
      <c r="K808" s="1">
        <v>0.0</v>
      </c>
      <c r="L808" s="2" t="s">
        <v>51</v>
      </c>
      <c r="M808" s="2" t="s">
        <v>25</v>
      </c>
      <c r="N808" s="2">
        <v>1.0</v>
      </c>
      <c r="P808" s="8">
        <f t="shared" si="1"/>
        <v>30023</v>
      </c>
    </row>
    <row r="809" ht="15.75" customHeight="1">
      <c r="A809" s="2">
        <v>1982.0</v>
      </c>
      <c r="B809" s="2">
        <v>1982.0</v>
      </c>
      <c r="C809" s="2">
        <v>2.0</v>
      </c>
      <c r="D809" s="2">
        <v>14.0</v>
      </c>
      <c r="E809" s="2" t="s">
        <v>970</v>
      </c>
      <c r="H809" s="2" t="s">
        <v>17</v>
      </c>
      <c r="I809" s="2" t="s">
        <v>59</v>
      </c>
      <c r="J809" s="1">
        <v>0.0</v>
      </c>
      <c r="K809" s="1">
        <v>0.0</v>
      </c>
      <c r="L809" s="2" t="s">
        <v>24</v>
      </c>
      <c r="M809" s="2" t="s">
        <v>25</v>
      </c>
      <c r="N809" s="2">
        <v>1.0</v>
      </c>
      <c r="P809" s="8">
        <f t="shared" si="1"/>
        <v>29996</v>
      </c>
    </row>
    <row r="810" ht="15.75" customHeight="1">
      <c r="A810" s="2">
        <v>1982.0</v>
      </c>
      <c r="B810" s="2">
        <v>1982.0</v>
      </c>
      <c r="C810" s="2">
        <v>1.0</v>
      </c>
      <c r="D810" s="2">
        <v>25.0</v>
      </c>
      <c r="E810" s="2" t="s">
        <v>744</v>
      </c>
      <c r="H810" s="2" t="s">
        <v>17</v>
      </c>
      <c r="I810" s="2" t="s">
        <v>166</v>
      </c>
      <c r="J810" s="1">
        <v>0.0</v>
      </c>
      <c r="K810" s="1">
        <v>0.0</v>
      </c>
      <c r="L810" s="2" t="s">
        <v>971</v>
      </c>
      <c r="N810" s="2">
        <v>1.0</v>
      </c>
      <c r="P810" s="8">
        <f t="shared" si="1"/>
        <v>29976</v>
      </c>
    </row>
    <row r="811" ht="15.75" customHeight="1">
      <c r="A811" s="2">
        <v>1982.0</v>
      </c>
      <c r="B811" s="2">
        <v>1982.0</v>
      </c>
      <c r="C811" s="2">
        <v>1.0</v>
      </c>
      <c r="D811" s="2">
        <v>23.0</v>
      </c>
      <c r="E811" s="2" t="s">
        <v>972</v>
      </c>
      <c r="H811" s="2" t="s">
        <v>17</v>
      </c>
      <c r="I811" s="2" t="s">
        <v>35</v>
      </c>
      <c r="J811" s="1">
        <v>0.0</v>
      </c>
      <c r="K811" s="1">
        <v>0.0</v>
      </c>
      <c r="L811" s="2" t="s">
        <v>24</v>
      </c>
      <c r="M811" s="2" t="s">
        <v>25</v>
      </c>
      <c r="N811" s="2">
        <v>1.0</v>
      </c>
      <c r="P811" s="8">
        <f t="shared" si="1"/>
        <v>29974</v>
      </c>
    </row>
    <row r="812" ht="15.75" customHeight="1">
      <c r="A812" s="2">
        <v>1982.0</v>
      </c>
      <c r="B812" s="2">
        <v>1982.0</v>
      </c>
      <c r="C812" s="2">
        <v>1.0</v>
      </c>
      <c r="D812" s="2">
        <v>6.0</v>
      </c>
      <c r="E812" s="2" t="s">
        <v>615</v>
      </c>
      <c r="H812" s="2" t="s">
        <v>196</v>
      </c>
      <c r="I812" s="2" t="s">
        <v>35</v>
      </c>
      <c r="J812" s="1">
        <v>0.0</v>
      </c>
      <c r="K812" s="1">
        <v>0.0</v>
      </c>
      <c r="L812" s="2" t="s">
        <v>51</v>
      </c>
      <c r="M812" s="2" t="s">
        <v>25</v>
      </c>
      <c r="N812" s="2">
        <v>1.0</v>
      </c>
      <c r="P812" s="8">
        <f t="shared" si="1"/>
        <v>29957</v>
      </c>
    </row>
    <row r="813" ht="15.75" customHeight="1">
      <c r="A813" s="2">
        <v>1982.0</v>
      </c>
      <c r="B813" s="2">
        <v>1982.0</v>
      </c>
      <c r="C813" s="2">
        <v>1.0</v>
      </c>
      <c r="D813" s="2">
        <v>5.0</v>
      </c>
      <c r="E813" s="2" t="s">
        <v>973</v>
      </c>
      <c r="H813" s="9" t="s">
        <v>17</v>
      </c>
      <c r="I813" s="2" t="s">
        <v>18</v>
      </c>
      <c r="J813" s="1">
        <v>0.0</v>
      </c>
      <c r="K813" s="1">
        <v>0.0</v>
      </c>
      <c r="L813" s="2" t="s">
        <v>811</v>
      </c>
      <c r="N813" s="2">
        <v>1.0</v>
      </c>
      <c r="P813" s="8">
        <f t="shared" si="1"/>
        <v>29956</v>
      </c>
    </row>
    <row r="814" ht="15.75" customHeight="1">
      <c r="A814" s="2">
        <v>1982.0</v>
      </c>
      <c r="B814" s="2">
        <v>1981.0</v>
      </c>
      <c r="C814" s="2">
        <v>12.0</v>
      </c>
      <c r="D814" s="2">
        <v>20.0</v>
      </c>
      <c r="E814" s="2" t="s">
        <v>974</v>
      </c>
      <c r="H814" s="2" t="s">
        <v>17</v>
      </c>
      <c r="I814" s="2" t="s">
        <v>35</v>
      </c>
      <c r="J814" s="1">
        <v>0.0</v>
      </c>
      <c r="K814" s="1">
        <v>0.0</v>
      </c>
      <c r="L814" s="2" t="s">
        <v>19</v>
      </c>
      <c r="N814" s="2">
        <v>1.0</v>
      </c>
      <c r="P814" s="8">
        <f t="shared" si="1"/>
        <v>29940</v>
      </c>
    </row>
    <row r="815" ht="15.75" customHeight="1">
      <c r="A815" s="2">
        <v>1982.0</v>
      </c>
      <c r="B815" s="2">
        <v>1981.0</v>
      </c>
      <c r="C815" s="2">
        <v>11.0</v>
      </c>
      <c r="D815" s="2">
        <v>21.0</v>
      </c>
      <c r="E815" s="2" t="s">
        <v>975</v>
      </c>
      <c r="H815" s="9" t="s">
        <v>17</v>
      </c>
      <c r="I815" s="2" t="s">
        <v>28</v>
      </c>
      <c r="J815" s="1">
        <v>0.0</v>
      </c>
      <c r="K815" s="1">
        <v>0.0</v>
      </c>
      <c r="L815" s="2" t="s">
        <v>29</v>
      </c>
      <c r="N815" s="2">
        <v>1.0</v>
      </c>
      <c r="P815" s="8">
        <f t="shared" si="1"/>
        <v>29911</v>
      </c>
    </row>
    <row r="816" ht="15.75" customHeight="1">
      <c r="A816" s="2">
        <v>1981.0</v>
      </c>
      <c r="B816" s="2">
        <v>1981.0</v>
      </c>
      <c r="C816" s="2">
        <v>6.0</v>
      </c>
      <c r="D816" s="2">
        <v>21.0</v>
      </c>
      <c r="E816" s="2" t="s">
        <v>916</v>
      </c>
      <c r="H816" s="9" t="s">
        <v>17</v>
      </c>
      <c r="I816" s="2" t="s">
        <v>77</v>
      </c>
      <c r="J816" s="1">
        <v>0.0</v>
      </c>
      <c r="K816" s="1">
        <v>0.0</v>
      </c>
      <c r="L816" s="2" t="s">
        <v>29</v>
      </c>
      <c r="M816" s="2" t="s">
        <v>20</v>
      </c>
      <c r="N816" s="2">
        <v>11.0</v>
      </c>
      <c r="P816" s="8">
        <f t="shared" si="1"/>
        <v>29758</v>
      </c>
    </row>
    <row r="817" ht="15.75" customHeight="1">
      <c r="A817" s="2">
        <v>1981.0</v>
      </c>
      <c r="B817" s="2">
        <v>1981.0</v>
      </c>
      <c r="C817" s="2">
        <v>4.0</v>
      </c>
      <c r="D817" s="2">
        <v>12.0</v>
      </c>
      <c r="E817" s="2" t="s">
        <v>948</v>
      </c>
      <c r="H817" s="2" t="s">
        <v>17</v>
      </c>
      <c r="I817" s="2" t="s">
        <v>77</v>
      </c>
      <c r="J817" s="1">
        <v>0.0</v>
      </c>
      <c r="K817" s="1">
        <v>0.0</v>
      </c>
      <c r="L817" s="2" t="s">
        <v>24</v>
      </c>
      <c r="M817" s="2" t="s">
        <v>25</v>
      </c>
      <c r="N817" s="2">
        <v>1.0</v>
      </c>
      <c r="P817" s="8">
        <f t="shared" si="1"/>
        <v>29688</v>
      </c>
    </row>
    <row r="818" ht="15.75" customHeight="1">
      <c r="A818" s="2">
        <v>1981.0</v>
      </c>
      <c r="B818" s="2">
        <v>1981.0</v>
      </c>
      <c r="C818" s="2">
        <v>4.0</v>
      </c>
      <c r="D818" s="2">
        <v>12.0</v>
      </c>
      <c r="E818" s="2" t="s">
        <v>976</v>
      </c>
      <c r="H818" s="2" t="s">
        <v>17</v>
      </c>
      <c r="I818" s="2" t="s">
        <v>85</v>
      </c>
      <c r="J818" s="1">
        <v>0.0</v>
      </c>
      <c r="K818" s="1">
        <v>0.0</v>
      </c>
      <c r="L818" s="2" t="s">
        <v>45</v>
      </c>
      <c r="N818" s="2">
        <v>1.0</v>
      </c>
      <c r="P818" s="8">
        <f t="shared" si="1"/>
        <v>29688</v>
      </c>
    </row>
    <row r="819" ht="15.75" customHeight="1">
      <c r="A819" s="2">
        <v>1981.0</v>
      </c>
      <c r="B819" s="2">
        <v>1981.0</v>
      </c>
      <c r="C819" s="2">
        <v>3.0</v>
      </c>
      <c r="D819" s="2">
        <v>31.0</v>
      </c>
      <c r="E819" s="2" t="s">
        <v>977</v>
      </c>
      <c r="H819" s="2" t="s">
        <v>196</v>
      </c>
      <c r="I819" s="2" t="s">
        <v>35</v>
      </c>
      <c r="J819" s="1">
        <v>0.0</v>
      </c>
      <c r="K819" s="1">
        <v>0.0</v>
      </c>
      <c r="L819" s="2" t="s">
        <v>384</v>
      </c>
      <c r="N819" s="2">
        <v>1.0</v>
      </c>
      <c r="P819" s="8">
        <f t="shared" si="1"/>
        <v>29676</v>
      </c>
    </row>
    <row r="820" ht="15.75" customHeight="1">
      <c r="A820" s="2">
        <v>1981.0</v>
      </c>
      <c r="B820" s="2">
        <v>1981.0</v>
      </c>
      <c r="C820" s="2">
        <v>3.0</v>
      </c>
      <c r="D820" s="2">
        <v>3.0</v>
      </c>
      <c r="E820" s="2" t="s">
        <v>964</v>
      </c>
      <c r="H820" s="2" t="s">
        <v>17</v>
      </c>
      <c r="I820" s="2" t="s">
        <v>35</v>
      </c>
      <c r="J820" s="1">
        <v>0.0</v>
      </c>
      <c r="K820" s="1">
        <v>0.0</v>
      </c>
      <c r="L820" s="2" t="s">
        <v>24</v>
      </c>
      <c r="M820" s="2" t="s">
        <v>25</v>
      </c>
      <c r="N820" s="2">
        <v>1.0</v>
      </c>
      <c r="P820" s="8">
        <f t="shared" si="1"/>
        <v>29648</v>
      </c>
    </row>
    <row r="821" ht="15.75" customHeight="1">
      <c r="A821" s="2">
        <v>1981.0</v>
      </c>
      <c r="B821" s="2">
        <v>1981.0</v>
      </c>
      <c r="C821" s="2">
        <v>3.0</v>
      </c>
      <c r="D821" s="2">
        <v>1.0</v>
      </c>
      <c r="E821" s="2" t="s">
        <v>978</v>
      </c>
      <c r="H821" s="2" t="s">
        <v>17</v>
      </c>
      <c r="I821" s="2" t="s">
        <v>40</v>
      </c>
      <c r="J821" s="1">
        <v>0.0</v>
      </c>
      <c r="K821" s="1">
        <v>0.0</v>
      </c>
      <c r="L821" s="2" t="s">
        <v>24</v>
      </c>
      <c r="M821" s="2" t="s">
        <v>25</v>
      </c>
      <c r="N821" s="2">
        <v>1.0</v>
      </c>
      <c r="P821" s="8">
        <f t="shared" si="1"/>
        <v>29646</v>
      </c>
    </row>
    <row r="822" ht="15.75" customHeight="1">
      <c r="A822" s="2">
        <v>1981.0</v>
      </c>
      <c r="B822" s="2">
        <v>1981.0</v>
      </c>
      <c r="C822" s="2">
        <v>3.0</v>
      </c>
      <c r="D822" s="2">
        <v>1.0</v>
      </c>
      <c r="E822" s="2" t="s">
        <v>850</v>
      </c>
      <c r="H822" s="2" t="s">
        <v>196</v>
      </c>
      <c r="I822" s="2" t="s">
        <v>18</v>
      </c>
      <c r="J822" s="1">
        <v>0.0</v>
      </c>
      <c r="K822" s="1">
        <v>0.0</v>
      </c>
      <c r="L822" s="2" t="s">
        <v>51</v>
      </c>
      <c r="M822" s="2" t="s">
        <v>25</v>
      </c>
      <c r="N822" s="2">
        <v>1.0</v>
      </c>
      <c r="P822" s="8">
        <f t="shared" si="1"/>
        <v>29646</v>
      </c>
    </row>
    <row r="823" ht="15.75" customHeight="1">
      <c r="A823" s="2">
        <v>1981.0</v>
      </c>
      <c r="B823" s="2">
        <v>1981.0</v>
      </c>
      <c r="C823" s="2">
        <v>2.0</v>
      </c>
      <c r="D823" s="2">
        <v>15.0</v>
      </c>
      <c r="E823" s="1" t="s">
        <v>979</v>
      </c>
      <c r="H823" s="1" t="s">
        <v>196</v>
      </c>
      <c r="I823" s="2" t="s">
        <v>49</v>
      </c>
      <c r="J823" s="1">
        <v>0.0</v>
      </c>
      <c r="K823" s="1">
        <v>0.0</v>
      </c>
      <c r="L823" s="2" t="s">
        <v>197</v>
      </c>
      <c r="M823" s="2" t="s">
        <v>25</v>
      </c>
      <c r="N823" s="2">
        <v>1.0</v>
      </c>
      <c r="P823" s="8">
        <f t="shared" si="1"/>
        <v>29632</v>
      </c>
    </row>
    <row r="824" ht="15.75" customHeight="1">
      <c r="A824" s="2">
        <v>1981.0</v>
      </c>
      <c r="B824" s="2">
        <v>1981.0</v>
      </c>
      <c r="C824" s="2">
        <v>2.0</v>
      </c>
      <c r="D824" s="2">
        <v>15.0</v>
      </c>
      <c r="E824" s="2" t="s">
        <v>980</v>
      </c>
      <c r="H824" s="2" t="s">
        <v>17</v>
      </c>
      <c r="I824" s="2" t="s">
        <v>80</v>
      </c>
      <c r="J824" s="1">
        <v>0.0</v>
      </c>
      <c r="K824" s="1">
        <v>0.0</v>
      </c>
      <c r="L824" s="2" t="s">
        <v>45</v>
      </c>
      <c r="N824" s="2">
        <v>1.0</v>
      </c>
      <c r="P824" s="8">
        <f t="shared" si="1"/>
        <v>29632</v>
      </c>
    </row>
    <row r="825" ht="15.75" customHeight="1">
      <c r="A825" s="2">
        <v>1981.0</v>
      </c>
      <c r="B825" s="2">
        <v>1981.0</v>
      </c>
      <c r="C825" s="2">
        <v>2.0</v>
      </c>
      <c r="D825" s="2">
        <v>1.0</v>
      </c>
      <c r="E825" s="2" t="s">
        <v>981</v>
      </c>
      <c r="H825" s="2" t="s">
        <v>17</v>
      </c>
      <c r="I825" s="2" t="s">
        <v>40</v>
      </c>
      <c r="J825" s="1">
        <v>0.0</v>
      </c>
      <c r="K825" s="1">
        <v>0.0</v>
      </c>
      <c r="L825" s="2" t="s">
        <v>24</v>
      </c>
      <c r="M825" s="2" t="s">
        <v>25</v>
      </c>
      <c r="N825" s="2">
        <v>1.0</v>
      </c>
      <c r="P825" s="8">
        <f t="shared" si="1"/>
        <v>29618</v>
      </c>
    </row>
    <row r="826" ht="15.75" customHeight="1">
      <c r="A826" s="2">
        <v>1981.0</v>
      </c>
      <c r="B826" s="2">
        <v>1980.0</v>
      </c>
      <c r="C826" s="2">
        <v>11.0</v>
      </c>
      <c r="D826" s="2">
        <v>27.0</v>
      </c>
      <c r="E826" s="2" t="s">
        <v>780</v>
      </c>
      <c r="H826" s="2" t="s">
        <v>17</v>
      </c>
      <c r="I826" s="2" t="s">
        <v>35</v>
      </c>
      <c r="J826" s="1">
        <v>0.0</v>
      </c>
      <c r="K826" s="1">
        <v>0.0</v>
      </c>
      <c r="L826" s="2" t="s">
        <v>24</v>
      </c>
      <c r="M826" s="2" t="s">
        <v>25</v>
      </c>
      <c r="N826" s="2">
        <v>2.0</v>
      </c>
      <c r="P826" s="8">
        <f t="shared" si="1"/>
        <v>29552</v>
      </c>
    </row>
    <row r="827" ht="15.75" customHeight="1">
      <c r="A827" s="2">
        <v>1981.0</v>
      </c>
      <c r="B827" s="2">
        <v>1980.0</v>
      </c>
      <c r="C827" s="2">
        <v>11.0</v>
      </c>
      <c r="D827" s="2">
        <v>15.0</v>
      </c>
      <c r="E827" s="2" t="s">
        <v>825</v>
      </c>
      <c r="H827" s="2" t="s">
        <v>196</v>
      </c>
      <c r="I827" s="2" t="s">
        <v>238</v>
      </c>
      <c r="J827" s="1">
        <v>0.0</v>
      </c>
      <c r="K827" s="1">
        <v>0.0</v>
      </c>
      <c r="L827" s="2" t="s">
        <v>24</v>
      </c>
      <c r="M827" s="2" t="s">
        <v>25</v>
      </c>
      <c r="N827" s="2">
        <v>1.0</v>
      </c>
      <c r="P827" s="8">
        <f t="shared" si="1"/>
        <v>29540</v>
      </c>
    </row>
    <row r="828" ht="15.75" customHeight="1">
      <c r="A828" s="2">
        <v>1980.0</v>
      </c>
      <c r="B828" s="2">
        <v>1980.0</v>
      </c>
      <c r="C828" s="2">
        <v>3.0</v>
      </c>
      <c r="D828" s="2">
        <v>15.0</v>
      </c>
      <c r="E828" s="2" t="s">
        <v>753</v>
      </c>
      <c r="H828" s="2" t="s">
        <v>196</v>
      </c>
      <c r="I828" s="2" t="s">
        <v>77</v>
      </c>
      <c r="J828" s="1">
        <v>0.0</v>
      </c>
      <c r="K828" s="1">
        <v>0.0</v>
      </c>
      <c r="L828" s="2" t="s">
        <v>51</v>
      </c>
      <c r="M828" s="2" t="s">
        <v>25</v>
      </c>
      <c r="N828" s="2">
        <v>1.0</v>
      </c>
      <c r="P828" s="8">
        <f t="shared" si="1"/>
        <v>29295</v>
      </c>
    </row>
    <row r="829" ht="15.75" customHeight="1">
      <c r="A829" s="2">
        <v>1980.0</v>
      </c>
      <c r="B829" s="2">
        <v>1980.0</v>
      </c>
      <c r="C829" s="2">
        <v>1.0</v>
      </c>
      <c r="D829" s="2">
        <v>18.0</v>
      </c>
      <c r="E829" s="2" t="s">
        <v>982</v>
      </c>
      <c r="H829" s="2" t="s">
        <v>196</v>
      </c>
      <c r="I829" s="2" t="s">
        <v>85</v>
      </c>
      <c r="J829" s="1">
        <v>0.0</v>
      </c>
      <c r="K829" s="1">
        <v>0.0</v>
      </c>
      <c r="L829" s="2" t="s">
        <v>51</v>
      </c>
      <c r="M829" s="2" t="s">
        <v>25</v>
      </c>
      <c r="N829" s="2">
        <v>1.0</v>
      </c>
      <c r="P829" s="8">
        <f t="shared" si="1"/>
        <v>29238</v>
      </c>
    </row>
    <row r="830" ht="15.75" customHeight="1">
      <c r="A830" s="2">
        <v>1980.0</v>
      </c>
      <c r="B830" s="2">
        <v>1980.0</v>
      </c>
      <c r="C830" s="2">
        <v>1.0</v>
      </c>
      <c r="D830" s="2">
        <v>11.0</v>
      </c>
      <c r="E830" s="2" t="s">
        <v>983</v>
      </c>
      <c r="H830" s="2" t="s">
        <v>17</v>
      </c>
      <c r="I830" s="2" t="s">
        <v>40</v>
      </c>
      <c r="J830" s="1">
        <v>0.0</v>
      </c>
      <c r="K830" s="1">
        <v>0.0</v>
      </c>
      <c r="L830" s="2" t="s">
        <v>24</v>
      </c>
      <c r="M830" s="2" t="s">
        <v>25</v>
      </c>
      <c r="N830" s="2">
        <v>1.0</v>
      </c>
      <c r="P830" s="8">
        <f t="shared" si="1"/>
        <v>29231</v>
      </c>
    </row>
    <row r="831" ht="15.75" customHeight="1">
      <c r="A831" s="2">
        <v>1980.0</v>
      </c>
      <c r="B831" s="2">
        <v>1979.0</v>
      </c>
      <c r="C831" s="2">
        <v>12.0</v>
      </c>
      <c r="D831" s="2">
        <v>24.0</v>
      </c>
      <c r="E831" s="2" t="s">
        <v>825</v>
      </c>
      <c r="H831" s="2" t="s">
        <v>17</v>
      </c>
      <c r="I831" s="2" t="s">
        <v>238</v>
      </c>
      <c r="J831" s="1">
        <v>0.0</v>
      </c>
      <c r="K831" s="1">
        <v>0.0</v>
      </c>
      <c r="L831" s="2" t="s">
        <v>24</v>
      </c>
      <c r="M831" s="2" t="s">
        <v>25</v>
      </c>
      <c r="N831" s="2">
        <v>1.0</v>
      </c>
      <c r="P831" s="8">
        <f t="shared" si="1"/>
        <v>29213</v>
      </c>
    </row>
    <row r="832" ht="15.75" customHeight="1">
      <c r="A832" s="2">
        <v>1980.0</v>
      </c>
      <c r="B832" s="2">
        <v>1979.0</v>
      </c>
      <c r="C832" s="2">
        <v>11.0</v>
      </c>
      <c r="D832" s="2">
        <v>22.0</v>
      </c>
      <c r="E832" s="2" t="s">
        <v>913</v>
      </c>
      <c r="H832" s="2" t="s">
        <v>17</v>
      </c>
      <c r="I832" s="2" t="s">
        <v>35</v>
      </c>
      <c r="J832" s="1">
        <v>0.0</v>
      </c>
      <c r="K832" s="1">
        <v>0.0</v>
      </c>
      <c r="L832" s="2" t="s">
        <v>24</v>
      </c>
      <c r="M832" s="2" t="s">
        <v>25</v>
      </c>
      <c r="N832" s="2">
        <v>1.0</v>
      </c>
      <c r="P832" s="8">
        <f t="shared" si="1"/>
        <v>29181</v>
      </c>
    </row>
    <row r="833" ht="15.75" customHeight="1">
      <c r="A833" s="2">
        <v>1980.0</v>
      </c>
      <c r="B833" s="2">
        <v>1979.0</v>
      </c>
      <c r="C833" s="2">
        <v>11.0</v>
      </c>
      <c r="D833" s="2">
        <v>4.0</v>
      </c>
      <c r="E833" s="2" t="s">
        <v>984</v>
      </c>
      <c r="H833" s="2" t="s">
        <v>196</v>
      </c>
      <c r="I833" s="2" t="s">
        <v>18</v>
      </c>
      <c r="J833" s="1">
        <v>0.0</v>
      </c>
      <c r="K833" s="1">
        <v>0.0</v>
      </c>
      <c r="L833" s="2" t="s">
        <v>24</v>
      </c>
      <c r="M833" s="2" t="s">
        <v>25</v>
      </c>
      <c r="N833" s="2">
        <v>1.0</v>
      </c>
      <c r="P833" s="8">
        <f t="shared" si="1"/>
        <v>29163</v>
      </c>
    </row>
    <row r="834" ht="15.75" customHeight="1">
      <c r="A834" s="2">
        <v>1979.0</v>
      </c>
      <c r="B834" s="2">
        <v>1979.0</v>
      </c>
      <c r="C834" s="2">
        <v>5.0</v>
      </c>
      <c r="D834" s="2">
        <v>9.0</v>
      </c>
      <c r="E834" s="2" t="s">
        <v>815</v>
      </c>
      <c r="H834" s="9" t="s">
        <v>17</v>
      </c>
      <c r="I834" s="2" t="s">
        <v>28</v>
      </c>
      <c r="J834" s="1">
        <v>0.0</v>
      </c>
      <c r="K834" s="1">
        <v>0.0</v>
      </c>
      <c r="L834" s="2" t="s">
        <v>29</v>
      </c>
      <c r="N834" s="2">
        <v>1.0</v>
      </c>
      <c r="P834" s="8">
        <f t="shared" si="1"/>
        <v>28984</v>
      </c>
    </row>
    <row r="835" ht="15.75" customHeight="1">
      <c r="A835" s="2">
        <v>1979.0</v>
      </c>
      <c r="B835" s="2">
        <v>1979.0</v>
      </c>
      <c r="C835" s="2">
        <v>4.0</v>
      </c>
      <c r="D835" s="2">
        <v>26.0</v>
      </c>
      <c r="E835" s="2" t="s">
        <v>943</v>
      </c>
      <c r="H835" s="9" t="s">
        <v>17</v>
      </c>
      <c r="I835" s="2" t="s">
        <v>74</v>
      </c>
      <c r="J835" s="1">
        <v>0.0</v>
      </c>
      <c r="K835" s="1">
        <v>0.0</v>
      </c>
      <c r="L835" s="2" t="s">
        <v>29</v>
      </c>
      <c r="N835" s="2">
        <v>2.0</v>
      </c>
      <c r="P835" s="8">
        <f t="shared" si="1"/>
        <v>28971</v>
      </c>
    </row>
    <row r="836" ht="15.75" customHeight="1">
      <c r="A836" s="2">
        <v>1979.0</v>
      </c>
      <c r="B836" s="2">
        <v>1979.0</v>
      </c>
      <c r="C836" s="2">
        <v>4.0</v>
      </c>
      <c r="D836" s="2">
        <v>2.0</v>
      </c>
      <c r="E836" s="2" t="s">
        <v>985</v>
      </c>
      <c r="H836" s="2" t="s">
        <v>17</v>
      </c>
      <c r="I836" s="2" t="s">
        <v>40</v>
      </c>
      <c r="J836" s="1">
        <v>0.0</v>
      </c>
      <c r="K836" s="1">
        <v>0.0</v>
      </c>
      <c r="L836" s="2" t="s">
        <v>24</v>
      </c>
      <c r="M836" s="2" t="s">
        <v>25</v>
      </c>
      <c r="N836" s="2">
        <v>1.0</v>
      </c>
      <c r="P836" s="8">
        <f t="shared" si="1"/>
        <v>28947</v>
      </c>
    </row>
    <row r="837" ht="15.75" customHeight="1">
      <c r="A837" s="2">
        <v>1979.0</v>
      </c>
      <c r="B837" s="2">
        <v>1979.0</v>
      </c>
      <c r="C837" s="2">
        <v>3.0</v>
      </c>
      <c r="D837" s="2">
        <v>4.0</v>
      </c>
      <c r="E837" s="2" t="s">
        <v>916</v>
      </c>
      <c r="H837" s="9" t="s">
        <v>17</v>
      </c>
      <c r="I837" s="2" t="s">
        <v>77</v>
      </c>
      <c r="J837" s="1">
        <v>0.0</v>
      </c>
      <c r="K837" s="1">
        <v>0.0</v>
      </c>
      <c r="L837" s="2" t="s">
        <v>29</v>
      </c>
      <c r="N837" s="2">
        <v>2.0</v>
      </c>
      <c r="P837" s="8">
        <f t="shared" si="1"/>
        <v>28918</v>
      </c>
    </row>
    <row r="838" ht="15.75" customHeight="1">
      <c r="A838" s="2">
        <v>1979.0</v>
      </c>
      <c r="B838" s="2">
        <v>1979.0</v>
      </c>
      <c r="C838" s="2">
        <v>2.0</v>
      </c>
      <c r="D838" s="2">
        <v>10.0</v>
      </c>
      <c r="E838" s="2" t="s">
        <v>986</v>
      </c>
      <c r="H838" s="2" t="s">
        <v>196</v>
      </c>
      <c r="I838" s="2" t="s">
        <v>35</v>
      </c>
      <c r="J838" s="1">
        <v>0.0</v>
      </c>
      <c r="K838" s="1">
        <v>0.0</v>
      </c>
      <c r="L838" s="2" t="s">
        <v>51</v>
      </c>
      <c r="M838" s="2" t="s">
        <v>25</v>
      </c>
      <c r="N838" s="2">
        <v>1.0</v>
      </c>
      <c r="P838" s="8">
        <f t="shared" si="1"/>
        <v>28896</v>
      </c>
    </row>
    <row r="839" ht="15.75" customHeight="1">
      <c r="A839" s="2">
        <v>1979.0</v>
      </c>
      <c r="B839" s="2">
        <v>1979.0</v>
      </c>
      <c r="C839" s="2">
        <v>1.0</v>
      </c>
      <c r="D839" s="2">
        <v>20.0</v>
      </c>
      <c r="E839" s="2" t="s">
        <v>987</v>
      </c>
      <c r="H839" s="2" t="s">
        <v>17</v>
      </c>
      <c r="I839" s="2" t="s">
        <v>77</v>
      </c>
      <c r="J839" s="1">
        <v>0.0</v>
      </c>
      <c r="K839" s="1">
        <v>0.0</v>
      </c>
      <c r="L839" s="2" t="s">
        <v>19</v>
      </c>
      <c r="M839" s="2" t="s">
        <v>103</v>
      </c>
      <c r="N839" s="2">
        <v>1.0</v>
      </c>
      <c r="P839" s="8">
        <f t="shared" si="1"/>
        <v>28875</v>
      </c>
    </row>
    <row r="840" ht="15.75" customHeight="1">
      <c r="A840" s="2">
        <v>1979.0</v>
      </c>
      <c r="B840" s="2">
        <v>1979.0</v>
      </c>
      <c r="C840" s="2">
        <v>1.0</v>
      </c>
      <c r="D840" s="2">
        <v>19.0</v>
      </c>
      <c r="E840" s="2" t="s">
        <v>988</v>
      </c>
      <c r="H840" s="2" t="s">
        <v>989</v>
      </c>
      <c r="I840" s="2" t="s">
        <v>40</v>
      </c>
      <c r="J840" s="1">
        <v>0.0</v>
      </c>
      <c r="K840" s="1">
        <v>0.0</v>
      </c>
      <c r="L840" s="2" t="s">
        <v>933</v>
      </c>
      <c r="N840" s="2">
        <v>1.0</v>
      </c>
      <c r="P840" s="8">
        <f t="shared" si="1"/>
        <v>28874</v>
      </c>
    </row>
    <row r="841" ht="15.75" customHeight="1">
      <c r="A841" s="2">
        <v>1979.0</v>
      </c>
      <c r="B841" s="2">
        <v>1979.0</v>
      </c>
      <c r="C841" s="2">
        <v>1.0</v>
      </c>
      <c r="D841" s="2">
        <v>6.0</v>
      </c>
      <c r="E841" s="2" t="s">
        <v>796</v>
      </c>
      <c r="H841" s="2" t="s">
        <v>17</v>
      </c>
      <c r="I841" s="2" t="s">
        <v>35</v>
      </c>
      <c r="J841" s="1">
        <v>0.0</v>
      </c>
      <c r="K841" s="1">
        <v>0.0</v>
      </c>
      <c r="L841" s="2" t="s">
        <v>24</v>
      </c>
      <c r="M841" s="2" t="s">
        <v>25</v>
      </c>
      <c r="N841" s="2">
        <v>1.0</v>
      </c>
      <c r="P841" s="8">
        <f t="shared" si="1"/>
        <v>28861</v>
      </c>
    </row>
    <row r="842" ht="15.75" customHeight="1">
      <c r="A842" s="2">
        <v>1978.0</v>
      </c>
      <c r="B842" s="2">
        <v>1978.0</v>
      </c>
      <c r="C842" s="2">
        <v>8.0</v>
      </c>
      <c r="D842" s="2">
        <v>27.0</v>
      </c>
      <c r="E842" s="2" t="s">
        <v>712</v>
      </c>
      <c r="H842" s="2" t="s">
        <v>17</v>
      </c>
      <c r="I842" s="2" t="s">
        <v>77</v>
      </c>
      <c r="J842" s="1">
        <v>0.0</v>
      </c>
      <c r="K842" s="1">
        <v>0.0</v>
      </c>
      <c r="L842" s="2" t="s">
        <v>29</v>
      </c>
      <c r="N842" s="2">
        <v>1.0</v>
      </c>
      <c r="P842" s="8">
        <f t="shared" si="1"/>
        <v>28729</v>
      </c>
    </row>
    <row r="843" ht="15.75" customHeight="1">
      <c r="A843" s="2">
        <v>1978.0</v>
      </c>
      <c r="B843" s="2">
        <v>1978.0</v>
      </c>
      <c r="C843" s="2">
        <v>5.0</v>
      </c>
      <c r="D843" s="2">
        <v>31.0</v>
      </c>
      <c r="E843" s="2" t="s">
        <v>916</v>
      </c>
      <c r="H843" s="9" t="s">
        <v>17</v>
      </c>
      <c r="I843" s="2" t="s">
        <v>77</v>
      </c>
      <c r="J843" s="1">
        <v>0.0</v>
      </c>
      <c r="K843" s="1">
        <v>0.0</v>
      </c>
      <c r="L843" s="2" t="s">
        <v>29</v>
      </c>
      <c r="N843" s="2">
        <v>1.0</v>
      </c>
      <c r="P843" s="8">
        <f t="shared" si="1"/>
        <v>28641</v>
      </c>
    </row>
    <row r="844" ht="15.75" customHeight="1">
      <c r="A844" s="2">
        <v>1978.0</v>
      </c>
      <c r="B844" s="2">
        <v>1978.0</v>
      </c>
      <c r="C844" s="2">
        <v>5.0</v>
      </c>
      <c r="D844" s="2">
        <v>30.0</v>
      </c>
      <c r="E844" s="2" t="s">
        <v>687</v>
      </c>
      <c r="H844" s="9" t="s">
        <v>17</v>
      </c>
      <c r="I844" s="2" t="s">
        <v>28</v>
      </c>
      <c r="J844" s="1">
        <v>0.0</v>
      </c>
      <c r="K844" s="1">
        <v>0.0</v>
      </c>
      <c r="L844" s="2" t="s">
        <v>29</v>
      </c>
      <c r="N844" s="2">
        <v>2.0</v>
      </c>
      <c r="P844" s="8">
        <f t="shared" si="1"/>
        <v>28640</v>
      </c>
    </row>
    <row r="845" ht="15.75" customHeight="1">
      <c r="A845" s="2">
        <v>1978.0</v>
      </c>
      <c r="B845" s="2">
        <v>1978.0</v>
      </c>
      <c r="C845" s="2">
        <v>4.0</v>
      </c>
      <c r="D845" s="2">
        <v>16.0</v>
      </c>
      <c r="E845" s="2" t="s">
        <v>990</v>
      </c>
      <c r="H845" s="2" t="s">
        <v>17</v>
      </c>
      <c r="I845" s="2" t="s">
        <v>35</v>
      </c>
      <c r="J845" s="1">
        <v>0.0</v>
      </c>
      <c r="K845" s="1">
        <v>0.0</v>
      </c>
      <c r="L845" s="2" t="s">
        <v>45</v>
      </c>
      <c r="N845" s="2">
        <v>1.0</v>
      </c>
      <c r="P845" s="8">
        <f t="shared" si="1"/>
        <v>28596</v>
      </c>
    </row>
    <row r="846" ht="15.75" customHeight="1">
      <c r="A846" s="2">
        <v>1978.0</v>
      </c>
      <c r="B846" s="2">
        <v>1978.0</v>
      </c>
      <c r="C846" s="2">
        <v>2.0</v>
      </c>
      <c r="D846" s="2">
        <v>10.0</v>
      </c>
      <c r="E846" s="2" t="s">
        <v>888</v>
      </c>
      <c r="H846" s="2" t="s">
        <v>749</v>
      </c>
      <c r="I846" s="2" t="s">
        <v>35</v>
      </c>
      <c r="J846" s="1">
        <v>0.0</v>
      </c>
      <c r="K846" s="1">
        <v>0.0</v>
      </c>
      <c r="L846" s="2" t="s">
        <v>421</v>
      </c>
      <c r="N846" s="2">
        <v>1.0</v>
      </c>
      <c r="P846" s="8">
        <f t="shared" si="1"/>
        <v>28531</v>
      </c>
    </row>
    <row r="847" ht="15.75" customHeight="1">
      <c r="A847" s="2">
        <v>1978.0</v>
      </c>
      <c r="B847" s="2">
        <v>1978.0</v>
      </c>
      <c r="C847" s="2">
        <v>2.0</v>
      </c>
      <c r="D847" s="2">
        <v>10.0</v>
      </c>
      <c r="E847" s="2" t="s">
        <v>928</v>
      </c>
      <c r="H847" s="2" t="s">
        <v>749</v>
      </c>
      <c r="I847" s="2" t="s">
        <v>18</v>
      </c>
      <c r="J847" s="1">
        <v>0.0</v>
      </c>
      <c r="K847" s="1">
        <v>0.0</v>
      </c>
      <c r="L847" s="2" t="s">
        <v>19</v>
      </c>
      <c r="M847" s="2" t="s">
        <v>103</v>
      </c>
      <c r="N847" s="2">
        <v>1.0</v>
      </c>
      <c r="P847" s="8">
        <f t="shared" si="1"/>
        <v>28531</v>
      </c>
    </row>
    <row r="848" ht="15.75" customHeight="1">
      <c r="A848" s="2">
        <v>1978.0</v>
      </c>
      <c r="B848" s="2">
        <v>1978.0</v>
      </c>
      <c r="C848" s="2">
        <v>2.0</v>
      </c>
      <c r="D848" s="2">
        <v>10.0</v>
      </c>
      <c r="E848" s="2" t="s">
        <v>928</v>
      </c>
      <c r="H848" s="2" t="s">
        <v>749</v>
      </c>
      <c r="I848" s="2" t="s">
        <v>18</v>
      </c>
      <c r="J848" s="1">
        <v>0.0</v>
      </c>
      <c r="K848" s="1">
        <v>0.0</v>
      </c>
      <c r="L848" s="2" t="s">
        <v>870</v>
      </c>
      <c r="N848" s="2">
        <v>2.0</v>
      </c>
      <c r="P848" s="8">
        <f t="shared" si="1"/>
        <v>28531</v>
      </c>
    </row>
    <row r="849" ht="15.75" customHeight="1">
      <c r="A849" s="2">
        <v>1978.0</v>
      </c>
      <c r="B849" s="2">
        <v>1978.0</v>
      </c>
      <c r="C849" s="2">
        <v>2.0</v>
      </c>
      <c r="D849" s="2">
        <v>9.0</v>
      </c>
      <c r="E849" s="2" t="s">
        <v>991</v>
      </c>
      <c r="H849" s="2" t="s">
        <v>749</v>
      </c>
      <c r="I849" s="2" t="s">
        <v>18</v>
      </c>
      <c r="J849" s="1">
        <v>0.0</v>
      </c>
      <c r="K849" s="1">
        <v>0.0</v>
      </c>
      <c r="L849" s="2" t="s">
        <v>421</v>
      </c>
      <c r="N849" s="2">
        <v>1.0</v>
      </c>
      <c r="P849" s="8">
        <f t="shared" si="1"/>
        <v>28530</v>
      </c>
    </row>
    <row r="850" ht="15.75" customHeight="1">
      <c r="A850" s="2">
        <v>1978.0</v>
      </c>
      <c r="B850" s="2">
        <v>1978.0</v>
      </c>
      <c r="C850" s="2">
        <v>1.0</v>
      </c>
      <c r="D850" s="2">
        <v>21.0</v>
      </c>
      <c r="E850" s="2" t="s">
        <v>764</v>
      </c>
      <c r="H850" s="9" t="s">
        <v>17</v>
      </c>
      <c r="I850" s="2" t="s">
        <v>28</v>
      </c>
      <c r="J850" s="1">
        <v>0.0</v>
      </c>
      <c r="K850" s="1">
        <v>0.0</v>
      </c>
      <c r="L850" s="2" t="s">
        <v>24</v>
      </c>
      <c r="M850" s="2" t="s">
        <v>25</v>
      </c>
      <c r="N850" s="2">
        <v>4.0</v>
      </c>
      <c r="P850" s="8">
        <f t="shared" si="1"/>
        <v>28511</v>
      </c>
    </row>
    <row r="851" ht="15.75" customHeight="1">
      <c r="A851" s="2">
        <v>1978.0</v>
      </c>
      <c r="B851" s="2">
        <v>1978.0</v>
      </c>
      <c r="C851" s="2">
        <v>1.0</v>
      </c>
      <c r="D851" s="2">
        <v>6.0</v>
      </c>
      <c r="E851" s="2" t="s">
        <v>992</v>
      </c>
      <c r="H851" s="2" t="s">
        <v>17</v>
      </c>
      <c r="I851" s="2" t="s">
        <v>35</v>
      </c>
      <c r="J851" s="1">
        <v>0.0</v>
      </c>
      <c r="K851" s="1">
        <v>0.0</v>
      </c>
      <c r="L851" s="2" t="s">
        <v>24</v>
      </c>
      <c r="M851" s="2" t="s">
        <v>25</v>
      </c>
      <c r="N851" s="2">
        <v>2.0</v>
      </c>
      <c r="P851" s="8">
        <f t="shared" si="1"/>
        <v>28496</v>
      </c>
    </row>
    <row r="852" ht="15.75" customHeight="1">
      <c r="A852" s="2">
        <v>1978.0</v>
      </c>
      <c r="B852" s="2">
        <v>1977.0</v>
      </c>
      <c r="C852" s="2">
        <v>12.0</v>
      </c>
      <c r="D852" s="2">
        <v>31.0</v>
      </c>
      <c r="E852" s="2" t="s">
        <v>916</v>
      </c>
      <c r="H852" s="9" t="s">
        <v>17</v>
      </c>
      <c r="I852" s="2" t="s">
        <v>77</v>
      </c>
      <c r="J852" s="1">
        <v>0.0</v>
      </c>
      <c r="K852" s="1">
        <v>0.0</v>
      </c>
      <c r="L852" s="2" t="s">
        <v>29</v>
      </c>
      <c r="N852" s="2">
        <v>1.0</v>
      </c>
      <c r="P852" s="8">
        <f t="shared" si="1"/>
        <v>28490</v>
      </c>
    </row>
    <row r="853" ht="15.75" customHeight="1">
      <c r="A853" s="2">
        <v>1978.0</v>
      </c>
      <c r="B853" s="2">
        <v>1977.0</v>
      </c>
      <c r="C853" s="2">
        <v>11.0</v>
      </c>
      <c r="D853" s="2">
        <v>2.0</v>
      </c>
      <c r="E853" s="2" t="s">
        <v>993</v>
      </c>
      <c r="H853" s="2" t="s">
        <v>17</v>
      </c>
      <c r="I853" s="2" t="s">
        <v>35</v>
      </c>
      <c r="J853" s="1">
        <v>0.0</v>
      </c>
      <c r="K853" s="1">
        <v>0.0</v>
      </c>
      <c r="L853" s="2" t="s">
        <v>29</v>
      </c>
      <c r="N853" s="2">
        <v>1.0</v>
      </c>
      <c r="P853" s="8">
        <f t="shared" si="1"/>
        <v>28431</v>
      </c>
    </row>
    <row r="854" ht="15.75" customHeight="1">
      <c r="A854" s="2">
        <v>1977.0</v>
      </c>
      <c r="B854" s="2">
        <v>1977.0</v>
      </c>
      <c r="C854" s="2">
        <v>5.0</v>
      </c>
      <c r="D854" s="2">
        <v>22.0</v>
      </c>
      <c r="E854" s="2" t="s">
        <v>994</v>
      </c>
      <c r="H854" s="2" t="s">
        <v>17</v>
      </c>
      <c r="I854" s="2" t="s">
        <v>35</v>
      </c>
      <c r="J854" s="1">
        <v>0.0</v>
      </c>
      <c r="K854" s="1">
        <v>0.0</v>
      </c>
      <c r="L854" s="2" t="s">
        <v>29</v>
      </c>
      <c r="N854" s="2">
        <v>1.0</v>
      </c>
      <c r="P854" s="8">
        <f t="shared" si="1"/>
        <v>28267</v>
      </c>
    </row>
    <row r="855" ht="15.75" customHeight="1">
      <c r="A855" s="2">
        <v>1977.0</v>
      </c>
      <c r="B855" s="2">
        <v>1977.0</v>
      </c>
      <c r="C855" s="2">
        <v>3.0</v>
      </c>
      <c r="D855" s="2">
        <v>26.0</v>
      </c>
      <c r="E855" s="2" t="s">
        <v>995</v>
      </c>
      <c r="H855" s="2" t="s">
        <v>17</v>
      </c>
      <c r="I855" s="2" t="s">
        <v>74</v>
      </c>
      <c r="J855" s="1">
        <v>0.0</v>
      </c>
      <c r="K855" s="1">
        <v>0.0</v>
      </c>
      <c r="L855" s="2" t="s">
        <v>24</v>
      </c>
      <c r="M855" s="2" t="s">
        <v>25</v>
      </c>
      <c r="N855" s="2">
        <v>1.0</v>
      </c>
      <c r="P855" s="8">
        <f t="shared" si="1"/>
        <v>28210</v>
      </c>
    </row>
    <row r="856" ht="15.75" customHeight="1">
      <c r="A856" s="2">
        <v>1977.0</v>
      </c>
      <c r="B856" s="2">
        <v>1977.0</v>
      </c>
      <c r="C856" s="2">
        <v>3.0</v>
      </c>
      <c r="D856" s="2">
        <v>3.0</v>
      </c>
      <c r="E856" s="2" t="s">
        <v>775</v>
      </c>
      <c r="H856" s="2" t="s">
        <v>196</v>
      </c>
      <c r="I856" s="2" t="s">
        <v>40</v>
      </c>
      <c r="J856" s="1">
        <v>0.0</v>
      </c>
      <c r="K856" s="1">
        <v>0.0</v>
      </c>
      <c r="L856" s="2" t="s">
        <v>197</v>
      </c>
      <c r="M856" s="2" t="s">
        <v>25</v>
      </c>
      <c r="N856" s="2">
        <v>1.0</v>
      </c>
      <c r="P856" s="8">
        <f t="shared" si="1"/>
        <v>28187</v>
      </c>
    </row>
    <row r="857" ht="15.75" customHeight="1">
      <c r="A857" s="2">
        <v>1977.0</v>
      </c>
      <c r="B857" s="2">
        <v>1977.0</v>
      </c>
      <c r="C857" s="2">
        <v>2.0</v>
      </c>
      <c r="D857" s="2">
        <v>6.0</v>
      </c>
      <c r="E857" s="2" t="s">
        <v>996</v>
      </c>
      <c r="H857" s="9" t="s">
        <v>749</v>
      </c>
      <c r="I857" s="2" t="s">
        <v>28</v>
      </c>
      <c r="J857" s="1">
        <v>0.0</v>
      </c>
      <c r="K857" s="1">
        <v>0.0</v>
      </c>
      <c r="L857" s="2" t="s">
        <v>652</v>
      </c>
      <c r="N857" s="2">
        <v>1.0</v>
      </c>
      <c r="P857" s="8">
        <f t="shared" si="1"/>
        <v>28162</v>
      </c>
    </row>
    <row r="858" ht="15.75" customHeight="1">
      <c r="A858" s="2">
        <v>1977.0</v>
      </c>
      <c r="B858" s="2">
        <v>1977.0</v>
      </c>
      <c r="C858" s="2">
        <v>1.0</v>
      </c>
      <c r="D858" s="2">
        <v>20.0</v>
      </c>
      <c r="E858" s="2" t="s">
        <v>850</v>
      </c>
      <c r="H858" s="9" t="s">
        <v>17</v>
      </c>
      <c r="I858" s="2" t="s">
        <v>18</v>
      </c>
      <c r="J858" s="1">
        <v>0.0</v>
      </c>
      <c r="K858" s="1">
        <v>0.0</v>
      </c>
      <c r="L858" s="2" t="s">
        <v>402</v>
      </c>
      <c r="N858" s="2">
        <v>1.0</v>
      </c>
      <c r="P858" s="8">
        <f t="shared" si="1"/>
        <v>28145</v>
      </c>
    </row>
    <row r="859" ht="15.75" customHeight="1">
      <c r="A859" s="2">
        <v>1977.0</v>
      </c>
      <c r="B859" s="2">
        <v>1976.0</v>
      </c>
      <c r="C859" s="2">
        <v>12.0</v>
      </c>
      <c r="D859" s="2">
        <v>12.0</v>
      </c>
      <c r="E859" s="2" t="s">
        <v>992</v>
      </c>
      <c r="H859" s="2" t="s">
        <v>17</v>
      </c>
      <c r="I859" s="2" t="s">
        <v>28</v>
      </c>
      <c r="J859" s="1">
        <v>0.0</v>
      </c>
      <c r="K859" s="1">
        <v>0.0</v>
      </c>
      <c r="L859" s="2" t="s">
        <v>19</v>
      </c>
      <c r="M859" s="2" t="s">
        <v>103</v>
      </c>
      <c r="N859" s="2">
        <v>1.0</v>
      </c>
      <c r="P859" s="8">
        <f t="shared" si="1"/>
        <v>28106</v>
      </c>
    </row>
    <row r="860" ht="15.75" customHeight="1">
      <c r="A860" s="2">
        <v>1976.0</v>
      </c>
      <c r="B860" s="2">
        <v>1976.0</v>
      </c>
      <c r="C860" s="2">
        <v>8.0</v>
      </c>
      <c r="D860" s="2">
        <v>6.0</v>
      </c>
      <c r="E860" s="2" t="s">
        <v>687</v>
      </c>
      <c r="H860" s="9" t="s">
        <v>17</v>
      </c>
      <c r="I860" s="2" t="s">
        <v>28</v>
      </c>
      <c r="J860" s="1">
        <v>0.0</v>
      </c>
      <c r="K860" s="1">
        <v>0.0</v>
      </c>
      <c r="L860" s="2" t="s">
        <v>29</v>
      </c>
      <c r="N860" s="2">
        <v>3.0</v>
      </c>
      <c r="P860" s="8">
        <f t="shared" si="1"/>
        <v>27978</v>
      </c>
    </row>
    <row r="861" ht="15.75" customHeight="1">
      <c r="A861" s="2">
        <v>1976.0</v>
      </c>
      <c r="B861" s="2">
        <v>1976.0</v>
      </c>
      <c r="C861" s="2">
        <v>7.0</v>
      </c>
      <c r="D861" s="2">
        <v>4.0</v>
      </c>
      <c r="E861" s="2" t="s">
        <v>997</v>
      </c>
      <c r="H861" s="9" t="s">
        <v>17</v>
      </c>
      <c r="I861" s="2" t="s">
        <v>35</v>
      </c>
      <c r="J861" s="1">
        <v>0.0</v>
      </c>
      <c r="K861" s="1">
        <v>0.0</v>
      </c>
      <c r="L861" s="2" t="s">
        <v>29</v>
      </c>
      <c r="N861" s="2">
        <v>1.0</v>
      </c>
      <c r="P861" s="8">
        <f t="shared" si="1"/>
        <v>27945</v>
      </c>
    </row>
    <row r="862" ht="15.75" customHeight="1">
      <c r="A862" s="2">
        <v>1976.0</v>
      </c>
      <c r="B862" s="2">
        <v>1976.0</v>
      </c>
      <c r="C862" s="2">
        <v>5.0</v>
      </c>
      <c r="D862" s="2">
        <v>15.0</v>
      </c>
      <c r="E862" s="2" t="s">
        <v>998</v>
      </c>
      <c r="H862" s="9" t="s">
        <v>17</v>
      </c>
      <c r="I862" s="2" t="s">
        <v>77</v>
      </c>
      <c r="J862" s="1">
        <v>0.0</v>
      </c>
      <c r="K862" s="1">
        <v>0.0</v>
      </c>
      <c r="L862" s="2" t="s">
        <v>29</v>
      </c>
      <c r="N862" s="2">
        <v>1.0</v>
      </c>
      <c r="P862" s="8">
        <f t="shared" si="1"/>
        <v>27895</v>
      </c>
    </row>
    <row r="863" ht="15.75" customHeight="1">
      <c r="A863" s="2">
        <v>1976.0</v>
      </c>
      <c r="B863" s="2">
        <v>1976.0</v>
      </c>
      <c r="C863" s="2">
        <v>3.0</v>
      </c>
      <c r="D863" s="2">
        <v>29.0</v>
      </c>
      <c r="E863" s="2" t="s">
        <v>999</v>
      </c>
      <c r="H863" s="2" t="s">
        <v>17</v>
      </c>
      <c r="I863" s="2" t="s">
        <v>35</v>
      </c>
      <c r="J863" s="1">
        <v>0.0</v>
      </c>
      <c r="K863" s="1">
        <v>0.0</v>
      </c>
      <c r="L863" s="2" t="s">
        <v>652</v>
      </c>
      <c r="N863" s="2">
        <v>1.0</v>
      </c>
      <c r="P863" s="8">
        <f t="shared" si="1"/>
        <v>27848</v>
      </c>
    </row>
    <row r="864" ht="15.75" customHeight="1">
      <c r="A864" s="2">
        <v>1976.0</v>
      </c>
      <c r="B864" s="2">
        <v>1976.0</v>
      </c>
      <c r="C864" s="2">
        <v>3.0</v>
      </c>
      <c r="D864" s="2">
        <v>27.0</v>
      </c>
      <c r="E864" s="2" t="s">
        <v>1000</v>
      </c>
      <c r="H864" s="9" t="s">
        <v>17</v>
      </c>
      <c r="I864" s="2" t="s">
        <v>77</v>
      </c>
      <c r="J864" s="1">
        <v>0.0</v>
      </c>
      <c r="K864" s="1">
        <v>0.0</v>
      </c>
      <c r="L864" s="2" t="s">
        <v>19</v>
      </c>
      <c r="M864" s="2" t="s">
        <v>103</v>
      </c>
      <c r="N864" s="2">
        <v>1.0</v>
      </c>
      <c r="P864" s="8">
        <f t="shared" si="1"/>
        <v>27846</v>
      </c>
    </row>
    <row r="865" ht="15.75" customHeight="1">
      <c r="A865" s="2">
        <v>1976.0</v>
      </c>
      <c r="B865" s="2">
        <v>1976.0</v>
      </c>
      <c r="C865" s="2">
        <v>3.0</v>
      </c>
      <c r="D865" s="2">
        <v>20.0</v>
      </c>
      <c r="E865" s="2" t="s">
        <v>1001</v>
      </c>
      <c r="H865" s="2" t="s">
        <v>17</v>
      </c>
      <c r="I865" s="2" t="s">
        <v>74</v>
      </c>
      <c r="J865" s="1">
        <v>0.0</v>
      </c>
      <c r="K865" s="1">
        <v>0.0</v>
      </c>
      <c r="L865" s="2" t="s">
        <v>24</v>
      </c>
      <c r="M865" s="2" t="s">
        <v>25</v>
      </c>
      <c r="N865" s="2">
        <v>1.0</v>
      </c>
      <c r="P865" s="8">
        <f t="shared" si="1"/>
        <v>27839</v>
      </c>
    </row>
    <row r="866" ht="15.75" customHeight="1">
      <c r="A866" s="2">
        <v>1976.0</v>
      </c>
      <c r="B866" s="2">
        <v>1976.0</v>
      </c>
      <c r="C866" s="2">
        <v>3.0</v>
      </c>
      <c r="D866" s="2">
        <v>2.0</v>
      </c>
      <c r="E866" s="2" t="s">
        <v>1002</v>
      </c>
      <c r="H866" s="2" t="s">
        <v>196</v>
      </c>
      <c r="I866" s="2" t="s">
        <v>18</v>
      </c>
      <c r="J866" s="1">
        <v>0.0</v>
      </c>
      <c r="K866" s="1">
        <v>0.0</v>
      </c>
      <c r="L866" s="2" t="s">
        <v>197</v>
      </c>
      <c r="M866" s="2" t="s">
        <v>25</v>
      </c>
      <c r="N866" s="2">
        <v>3.0</v>
      </c>
      <c r="P866" s="8">
        <f t="shared" si="1"/>
        <v>27821</v>
      </c>
    </row>
    <row r="867" ht="15.75" customHeight="1">
      <c r="A867" s="2">
        <v>1976.0</v>
      </c>
      <c r="B867" s="2">
        <v>1976.0</v>
      </c>
      <c r="C867" s="2">
        <v>2.0</v>
      </c>
      <c r="D867" s="2">
        <v>21.0</v>
      </c>
      <c r="E867" s="2" t="s">
        <v>1003</v>
      </c>
      <c r="H867" s="2" t="s">
        <v>17</v>
      </c>
      <c r="I867" s="2" t="s">
        <v>18</v>
      </c>
      <c r="J867" s="1">
        <v>0.0</v>
      </c>
      <c r="K867" s="1">
        <v>0.0</v>
      </c>
      <c r="L867" s="2" t="s">
        <v>29</v>
      </c>
      <c r="N867" s="2">
        <v>1.0</v>
      </c>
      <c r="P867" s="8">
        <f t="shared" si="1"/>
        <v>27811</v>
      </c>
    </row>
    <row r="868" ht="15.75" customHeight="1">
      <c r="A868" s="2">
        <v>1976.0</v>
      </c>
      <c r="B868" s="2">
        <v>1976.0</v>
      </c>
      <c r="C868" s="2">
        <v>2.0</v>
      </c>
      <c r="D868" s="2">
        <v>19.0</v>
      </c>
      <c r="E868" s="2" t="s">
        <v>1004</v>
      </c>
      <c r="H868" s="2" t="s">
        <v>17</v>
      </c>
      <c r="I868" s="2" t="s">
        <v>28</v>
      </c>
      <c r="J868" s="1">
        <v>0.0</v>
      </c>
      <c r="K868" s="1">
        <v>0.0</v>
      </c>
      <c r="L868" s="2" t="s">
        <v>29</v>
      </c>
      <c r="N868" s="2">
        <v>1.0</v>
      </c>
      <c r="P868" s="8">
        <f t="shared" si="1"/>
        <v>27809</v>
      </c>
    </row>
    <row r="869" ht="15.75" customHeight="1">
      <c r="A869" s="2">
        <v>1976.0</v>
      </c>
      <c r="B869" s="2">
        <v>1976.0</v>
      </c>
      <c r="C869" s="2">
        <v>1.0</v>
      </c>
      <c r="D869" s="2">
        <v>17.0</v>
      </c>
      <c r="E869" s="2" t="s">
        <v>886</v>
      </c>
      <c r="H869" s="2" t="s">
        <v>17</v>
      </c>
      <c r="I869" s="2" t="s">
        <v>35</v>
      </c>
      <c r="J869" s="1">
        <v>0.0</v>
      </c>
      <c r="K869" s="1">
        <v>0.0</v>
      </c>
      <c r="L869" s="2" t="s">
        <v>24</v>
      </c>
      <c r="M869" s="2" t="s">
        <v>25</v>
      </c>
      <c r="N869" s="2">
        <v>1.0</v>
      </c>
      <c r="P869" s="8">
        <f t="shared" si="1"/>
        <v>27776</v>
      </c>
    </row>
    <row r="870" ht="15.75" customHeight="1">
      <c r="A870" s="2">
        <v>1976.0</v>
      </c>
      <c r="B870" s="2">
        <v>1976.0</v>
      </c>
      <c r="C870" s="2">
        <v>1.0</v>
      </c>
      <c r="D870" s="2">
        <v>12.0</v>
      </c>
      <c r="E870" s="2" t="s">
        <v>1005</v>
      </c>
      <c r="H870" s="2" t="s">
        <v>17</v>
      </c>
      <c r="I870" s="2" t="s">
        <v>74</v>
      </c>
      <c r="J870" s="1">
        <v>0.0</v>
      </c>
      <c r="K870" s="1">
        <v>0.0</v>
      </c>
      <c r="L870" s="2" t="s">
        <v>24</v>
      </c>
      <c r="M870" s="2" t="s">
        <v>25</v>
      </c>
      <c r="N870" s="2">
        <v>2.0</v>
      </c>
      <c r="P870" s="8">
        <f t="shared" si="1"/>
        <v>27771</v>
      </c>
    </row>
    <row r="871" ht="15.75" customHeight="1">
      <c r="A871" s="2">
        <v>1976.0</v>
      </c>
      <c r="B871" s="2">
        <v>1976.0</v>
      </c>
      <c r="C871" s="2">
        <v>1.0</v>
      </c>
      <c r="D871" s="2">
        <v>10.0</v>
      </c>
      <c r="E871" s="2" t="s">
        <v>1006</v>
      </c>
      <c r="H871" s="2" t="s">
        <v>17</v>
      </c>
      <c r="I871" s="2" t="s">
        <v>49</v>
      </c>
      <c r="J871" s="1">
        <v>0.0</v>
      </c>
      <c r="K871" s="1">
        <v>0.0</v>
      </c>
      <c r="L871" s="2" t="s">
        <v>29</v>
      </c>
      <c r="N871" s="2">
        <v>2.0</v>
      </c>
      <c r="P871" s="8">
        <f t="shared" si="1"/>
        <v>27769</v>
      </c>
    </row>
    <row r="872" ht="15.75" customHeight="1">
      <c r="A872" s="2">
        <v>1976.0</v>
      </c>
      <c r="B872" s="2">
        <v>1976.0</v>
      </c>
      <c r="C872" s="2">
        <v>1.0</v>
      </c>
      <c r="D872" s="2">
        <v>6.0</v>
      </c>
      <c r="E872" s="2" t="s">
        <v>925</v>
      </c>
      <c r="H872" s="2" t="s">
        <v>196</v>
      </c>
      <c r="I872" s="2" t="s">
        <v>40</v>
      </c>
      <c r="J872" s="1">
        <v>0.0</v>
      </c>
      <c r="K872" s="1">
        <v>0.0</v>
      </c>
      <c r="L872" s="2" t="s">
        <v>51</v>
      </c>
      <c r="M872" s="2" t="s">
        <v>25</v>
      </c>
      <c r="N872" s="2">
        <v>1.0</v>
      </c>
      <c r="P872" s="8">
        <f t="shared" si="1"/>
        <v>27765</v>
      </c>
    </row>
    <row r="873" ht="15.75" customHeight="1">
      <c r="A873" s="2">
        <v>1976.0</v>
      </c>
      <c r="B873" s="2">
        <v>1975.0</v>
      </c>
      <c r="C873" s="2">
        <v>11.0</v>
      </c>
      <c r="D873" s="2">
        <v>30.0</v>
      </c>
      <c r="E873" s="2" t="s">
        <v>916</v>
      </c>
      <c r="H873" s="9" t="s">
        <v>17</v>
      </c>
      <c r="I873" s="2" t="s">
        <v>77</v>
      </c>
      <c r="J873" s="1">
        <v>0.0</v>
      </c>
      <c r="K873" s="1">
        <v>0.0</v>
      </c>
      <c r="L873" s="2" t="s">
        <v>19</v>
      </c>
      <c r="M873" s="2" t="s">
        <v>103</v>
      </c>
      <c r="N873" s="2">
        <v>1.0</v>
      </c>
      <c r="P873" s="8">
        <f t="shared" si="1"/>
        <v>27728</v>
      </c>
    </row>
    <row r="874" ht="15.75" customHeight="1">
      <c r="A874" s="2">
        <v>1976.0</v>
      </c>
      <c r="B874" s="2">
        <v>1975.0</v>
      </c>
      <c r="C874" s="2">
        <v>11.0</v>
      </c>
      <c r="D874" s="2">
        <v>15.0</v>
      </c>
      <c r="E874" s="2" t="s">
        <v>1007</v>
      </c>
      <c r="H874" s="2" t="s">
        <v>17</v>
      </c>
      <c r="I874" s="2" t="s">
        <v>28</v>
      </c>
      <c r="J874" s="1">
        <v>0.0</v>
      </c>
      <c r="K874" s="1">
        <v>0.0</v>
      </c>
      <c r="L874" s="2" t="s">
        <v>24</v>
      </c>
      <c r="M874" s="2" t="s">
        <v>25</v>
      </c>
      <c r="N874" s="2">
        <v>1.0</v>
      </c>
      <c r="P874" s="8">
        <f t="shared" si="1"/>
        <v>27713</v>
      </c>
    </row>
    <row r="875" ht="15.75" customHeight="1">
      <c r="A875" s="2">
        <v>1975.0</v>
      </c>
      <c r="B875" s="2">
        <v>1975.0</v>
      </c>
      <c r="C875" s="2">
        <v>5.0</v>
      </c>
      <c r="D875" s="2">
        <v>10.0</v>
      </c>
      <c r="E875" s="2" t="s">
        <v>1008</v>
      </c>
      <c r="H875" s="2" t="s">
        <v>17</v>
      </c>
      <c r="I875" s="2" t="s">
        <v>28</v>
      </c>
      <c r="J875" s="1">
        <v>0.0</v>
      </c>
      <c r="K875" s="1">
        <v>0.0</v>
      </c>
      <c r="L875" s="2" t="s">
        <v>738</v>
      </c>
      <c r="N875" s="2">
        <v>1.0</v>
      </c>
      <c r="P875" s="8">
        <f t="shared" si="1"/>
        <v>27524</v>
      </c>
    </row>
    <row r="876" ht="15.75" customHeight="1">
      <c r="A876" s="2">
        <v>1975.0</v>
      </c>
      <c r="B876" s="2">
        <v>1975.0</v>
      </c>
      <c r="C876" s="2">
        <v>4.0</v>
      </c>
      <c r="D876" s="2">
        <v>26.0</v>
      </c>
      <c r="E876" s="2" t="s">
        <v>1009</v>
      </c>
      <c r="H876" s="2" t="s">
        <v>17</v>
      </c>
      <c r="I876" s="2" t="s">
        <v>77</v>
      </c>
      <c r="J876" s="1">
        <v>0.0</v>
      </c>
      <c r="K876" s="1">
        <v>0.0</v>
      </c>
      <c r="L876" s="2" t="s">
        <v>29</v>
      </c>
      <c r="N876" s="2">
        <v>5.0</v>
      </c>
      <c r="P876" s="8">
        <f t="shared" si="1"/>
        <v>27510</v>
      </c>
    </row>
    <row r="877" ht="15.75" customHeight="1">
      <c r="A877" s="2">
        <v>1975.0</v>
      </c>
      <c r="B877" s="2">
        <v>1975.0</v>
      </c>
      <c r="C877" s="2">
        <v>4.0</v>
      </c>
      <c r="D877" s="2">
        <v>26.0</v>
      </c>
      <c r="E877" s="2" t="s">
        <v>777</v>
      </c>
      <c r="H877" s="2" t="s">
        <v>17</v>
      </c>
      <c r="I877" s="2" t="s">
        <v>59</v>
      </c>
      <c r="J877" s="1">
        <v>0.0</v>
      </c>
      <c r="K877" s="1">
        <v>0.0</v>
      </c>
      <c r="L877" s="2" t="s">
        <v>29</v>
      </c>
      <c r="N877" s="2">
        <v>1.0</v>
      </c>
      <c r="P877" s="8">
        <f t="shared" si="1"/>
        <v>27510</v>
      </c>
    </row>
    <row r="878" ht="15.75" customHeight="1">
      <c r="A878" s="2">
        <v>1975.0</v>
      </c>
      <c r="B878" s="2">
        <v>1975.0</v>
      </c>
      <c r="C878" s="2">
        <v>3.0</v>
      </c>
      <c r="D878" s="2">
        <v>23.0</v>
      </c>
      <c r="E878" s="2" t="s">
        <v>1010</v>
      </c>
      <c r="H878" s="2" t="s">
        <v>17</v>
      </c>
      <c r="I878" s="2" t="s">
        <v>85</v>
      </c>
      <c r="J878" s="1">
        <v>0.0</v>
      </c>
      <c r="K878" s="1">
        <v>0.0</v>
      </c>
      <c r="L878" s="2" t="s">
        <v>45</v>
      </c>
      <c r="N878" s="2">
        <v>1.0</v>
      </c>
      <c r="P878" s="8">
        <f t="shared" si="1"/>
        <v>27476</v>
      </c>
    </row>
    <row r="879" ht="15.75" customHeight="1">
      <c r="A879" s="2">
        <v>1975.0</v>
      </c>
      <c r="B879" s="2">
        <v>1975.0</v>
      </c>
      <c r="C879" s="2">
        <v>3.0</v>
      </c>
      <c r="D879" s="2">
        <v>21.0</v>
      </c>
      <c r="E879" s="2" t="s">
        <v>1011</v>
      </c>
      <c r="H879" s="9" t="s">
        <v>17</v>
      </c>
      <c r="I879" s="2" t="s">
        <v>28</v>
      </c>
      <c r="J879" s="1">
        <v>0.0</v>
      </c>
      <c r="K879" s="1">
        <v>0.0</v>
      </c>
      <c r="L879" s="2" t="s">
        <v>29</v>
      </c>
      <c r="N879" s="2">
        <v>1.0</v>
      </c>
      <c r="P879" s="8">
        <f t="shared" si="1"/>
        <v>27474</v>
      </c>
    </row>
    <row r="880" ht="15.75" customHeight="1">
      <c r="A880" s="2">
        <v>1975.0</v>
      </c>
      <c r="B880" s="2">
        <v>1975.0</v>
      </c>
      <c r="C880" s="2">
        <v>2.0</v>
      </c>
      <c r="D880" s="2">
        <v>8.0</v>
      </c>
      <c r="E880" s="2" t="s">
        <v>1012</v>
      </c>
      <c r="H880" s="9" t="s">
        <v>17</v>
      </c>
      <c r="I880" s="2" t="s">
        <v>74</v>
      </c>
      <c r="J880" s="1">
        <v>0.0</v>
      </c>
      <c r="K880" s="1">
        <v>0.0</v>
      </c>
      <c r="L880" s="2" t="s">
        <v>402</v>
      </c>
      <c r="N880" s="2">
        <v>1.0</v>
      </c>
      <c r="P880" s="8">
        <f t="shared" si="1"/>
        <v>27433</v>
      </c>
    </row>
    <row r="881" ht="15.75" customHeight="1">
      <c r="A881" s="2">
        <v>1975.0</v>
      </c>
      <c r="B881" s="2">
        <v>1975.0</v>
      </c>
      <c r="C881" s="2">
        <v>2.0</v>
      </c>
      <c r="D881" s="2">
        <v>5.0</v>
      </c>
      <c r="E881" s="2" t="s">
        <v>823</v>
      </c>
      <c r="H881" s="2" t="s">
        <v>196</v>
      </c>
      <c r="I881" s="2" t="s">
        <v>49</v>
      </c>
      <c r="J881" s="1">
        <v>0.0</v>
      </c>
      <c r="K881" s="1">
        <v>0.0</v>
      </c>
      <c r="L881" s="2" t="s">
        <v>51</v>
      </c>
      <c r="M881" s="2" t="s">
        <v>25</v>
      </c>
      <c r="N881" s="2">
        <v>1.0</v>
      </c>
      <c r="P881" s="8">
        <f t="shared" si="1"/>
        <v>27430</v>
      </c>
    </row>
    <row r="882" ht="15.75" customHeight="1">
      <c r="A882" s="2">
        <v>1975.0</v>
      </c>
      <c r="B882" s="2">
        <v>1975.0</v>
      </c>
      <c r="C882" s="2">
        <v>1.0</v>
      </c>
      <c r="D882" s="2">
        <v>19.0</v>
      </c>
      <c r="E882" s="2" t="s">
        <v>1013</v>
      </c>
      <c r="H882" s="2" t="s">
        <v>17</v>
      </c>
      <c r="I882" s="2" t="s">
        <v>74</v>
      </c>
      <c r="J882" s="1">
        <v>0.0</v>
      </c>
      <c r="K882" s="1">
        <v>0.0</v>
      </c>
      <c r="L882" s="2" t="s">
        <v>24</v>
      </c>
      <c r="M882" s="2" t="s">
        <v>25</v>
      </c>
      <c r="N882" s="2">
        <v>1.0</v>
      </c>
      <c r="P882" s="8">
        <f t="shared" si="1"/>
        <v>27413</v>
      </c>
    </row>
    <row r="883" ht="15.75" customHeight="1">
      <c r="A883" s="2">
        <v>1975.0</v>
      </c>
      <c r="B883" s="2">
        <v>1975.0</v>
      </c>
      <c r="C883" s="2">
        <v>1.0</v>
      </c>
      <c r="D883" s="2">
        <v>16.0</v>
      </c>
      <c r="E883" s="2" t="s">
        <v>975</v>
      </c>
      <c r="H883" s="9" t="s">
        <v>17</v>
      </c>
      <c r="I883" s="2" t="s">
        <v>28</v>
      </c>
      <c r="J883" s="1">
        <v>0.0</v>
      </c>
      <c r="K883" s="1">
        <v>0.0</v>
      </c>
      <c r="L883" s="2" t="s">
        <v>29</v>
      </c>
      <c r="N883" s="2">
        <v>1.0</v>
      </c>
      <c r="P883" s="8">
        <f t="shared" si="1"/>
        <v>27410</v>
      </c>
    </row>
    <row r="884" ht="15.75" customHeight="1">
      <c r="A884" s="2">
        <v>1975.0</v>
      </c>
      <c r="B884" s="2">
        <v>1975.0</v>
      </c>
      <c r="C884" s="2">
        <v>1.0</v>
      </c>
      <c r="D884" s="2">
        <v>15.0</v>
      </c>
      <c r="E884" s="2" t="s">
        <v>897</v>
      </c>
      <c r="H884" s="2" t="s">
        <v>17</v>
      </c>
      <c r="I884" s="2" t="s">
        <v>35</v>
      </c>
      <c r="J884" s="1">
        <v>0.0</v>
      </c>
      <c r="K884" s="1">
        <v>0.0</v>
      </c>
      <c r="L884" s="2" t="s">
        <v>24</v>
      </c>
      <c r="M884" s="2" t="s">
        <v>25</v>
      </c>
      <c r="N884" s="2">
        <v>1.0</v>
      </c>
      <c r="P884" s="8">
        <f t="shared" si="1"/>
        <v>27409</v>
      </c>
    </row>
    <row r="885" ht="15.75" customHeight="1">
      <c r="A885" s="2">
        <v>1975.0</v>
      </c>
      <c r="B885" s="2">
        <v>1975.0</v>
      </c>
      <c r="C885" s="2">
        <v>1.0</v>
      </c>
      <c r="D885" s="2">
        <v>14.0</v>
      </c>
      <c r="E885" s="2" t="s">
        <v>1014</v>
      </c>
      <c r="H885" s="2" t="s">
        <v>17</v>
      </c>
      <c r="I885" s="2" t="s">
        <v>35</v>
      </c>
      <c r="J885" s="1">
        <v>0.0</v>
      </c>
      <c r="K885" s="1">
        <v>0.0</v>
      </c>
      <c r="L885" s="2" t="s">
        <v>24</v>
      </c>
      <c r="M885" s="2" t="s">
        <v>25</v>
      </c>
      <c r="N885" s="2">
        <v>2.0</v>
      </c>
      <c r="P885" s="8">
        <f t="shared" si="1"/>
        <v>27408</v>
      </c>
    </row>
    <row r="886" ht="15.75" customHeight="1">
      <c r="A886" s="2">
        <v>1975.0</v>
      </c>
      <c r="B886" s="2">
        <v>1975.0</v>
      </c>
      <c r="C886" s="2">
        <v>1.0</v>
      </c>
      <c r="D886" s="2">
        <v>9.0</v>
      </c>
      <c r="E886" s="2" t="s">
        <v>867</v>
      </c>
      <c r="H886" s="2" t="s">
        <v>196</v>
      </c>
      <c r="I886" s="2" t="s">
        <v>35</v>
      </c>
      <c r="J886" s="1">
        <v>0.0</v>
      </c>
      <c r="K886" s="1">
        <v>0.0</v>
      </c>
      <c r="L886" s="2" t="s">
        <v>197</v>
      </c>
      <c r="M886" s="2" t="s">
        <v>25</v>
      </c>
      <c r="N886" s="2">
        <v>1.0</v>
      </c>
      <c r="P886" s="8">
        <f t="shared" si="1"/>
        <v>27403</v>
      </c>
    </row>
    <row r="887" ht="15.75" customHeight="1">
      <c r="A887" s="2">
        <v>1975.0</v>
      </c>
      <c r="B887" s="2">
        <v>1974.0</v>
      </c>
      <c r="C887" s="2">
        <v>12.0</v>
      </c>
      <c r="D887" s="2">
        <v>28.0</v>
      </c>
      <c r="E887" s="2" t="s">
        <v>781</v>
      </c>
      <c r="H887" s="2" t="s">
        <v>196</v>
      </c>
      <c r="I887" s="2" t="s">
        <v>35</v>
      </c>
      <c r="J887" s="1">
        <v>0.0</v>
      </c>
      <c r="K887" s="1">
        <v>0.0</v>
      </c>
      <c r="L887" s="2" t="s">
        <v>51</v>
      </c>
      <c r="M887" s="2" t="s">
        <v>25</v>
      </c>
      <c r="N887" s="2">
        <v>1.0</v>
      </c>
      <c r="P887" s="8">
        <f t="shared" si="1"/>
        <v>27391</v>
      </c>
    </row>
    <row r="888" ht="15.75" customHeight="1">
      <c r="A888" s="2">
        <v>1975.0</v>
      </c>
      <c r="B888" s="2">
        <v>1974.0</v>
      </c>
      <c r="C888" s="2">
        <v>12.0</v>
      </c>
      <c r="D888" s="2">
        <v>21.0</v>
      </c>
      <c r="E888" s="2" t="s">
        <v>796</v>
      </c>
      <c r="H888" s="2" t="s">
        <v>17</v>
      </c>
      <c r="I888" s="2" t="s">
        <v>35</v>
      </c>
      <c r="J888" s="1">
        <v>0.0</v>
      </c>
      <c r="K888" s="1">
        <v>0.0</v>
      </c>
      <c r="L888" s="2" t="s">
        <v>24</v>
      </c>
      <c r="M888" s="2" t="s">
        <v>25</v>
      </c>
      <c r="N888" s="2">
        <v>1.0</v>
      </c>
      <c r="P888" s="8">
        <f t="shared" si="1"/>
        <v>27384</v>
      </c>
    </row>
    <row r="889" ht="15.75" customHeight="1">
      <c r="A889" s="2">
        <v>1975.0</v>
      </c>
      <c r="B889" s="2">
        <v>1974.0</v>
      </c>
      <c r="C889" s="2">
        <v>12.0</v>
      </c>
      <c r="D889" s="2">
        <v>15.0</v>
      </c>
      <c r="E889" s="2" t="s">
        <v>1015</v>
      </c>
      <c r="H889" s="2" t="s">
        <v>17</v>
      </c>
      <c r="I889" s="2" t="s">
        <v>35</v>
      </c>
      <c r="J889" s="1">
        <v>0.0</v>
      </c>
      <c r="K889" s="1">
        <v>0.0</v>
      </c>
      <c r="L889" s="2" t="s">
        <v>24</v>
      </c>
      <c r="M889" s="2" t="s">
        <v>25</v>
      </c>
      <c r="N889" s="2">
        <v>1.0</v>
      </c>
      <c r="P889" s="8">
        <f t="shared" si="1"/>
        <v>27378</v>
      </c>
    </row>
    <row r="890" ht="15.75" customHeight="1">
      <c r="A890" s="2">
        <v>1975.0</v>
      </c>
      <c r="B890" s="2">
        <v>1974.0</v>
      </c>
      <c r="C890" s="2">
        <v>11.0</v>
      </c>
      <c r="D890" s="2">
        <v>23.0</v>
      </c>
      <c r="E890" s="2" t="s">
        <v>615</v>
      </c>
      <c r="H890" s="2" t="s">
        <v>196</v>
      </c>
      <c r="I890" s="2" t="s">
        <v>35</v>
      </c>
      <c r="J890" s="1">
        <v>0.0</v>
      </c>
      <c r="K890" s="1">
        <v>0.0</v>
      </c>
      <c r="L890" s="2" t="s">
        <v>384</v>
      </c>
      <c r="N890" s="2">
        <v>1.0</v>
      </c>
      <c r="P890" s="8">
        <f t="shared" si="1"/>
        <v>27356</v>
      </c>
    </row>
    <row r="891" ht="15.75" customHeight="1">
      <c r="A891" s="2">
        <v>1975.0</v>
      </c>
      <c r="B891" s="2">
        <v>1974.0</v>
      </c>
      <c r="C891" s="2">
        <v>11.0</v>
      </c>
      <c r="D891" s="2">
        <v>18.0</v>
      </c>
      <c r="E891" s="2" t="s">
        <v>916</v>
      </c>
      <c r="H891" s="9" t="s">
        <v>17</v>
      </c>
      <c r="I891" s="2" t="s">
        <v>77</v>
      </c>
      <c r="J891" s="1">
        <v>0.0</v>
      </c>
      <c r="K891" s="1">
        <v>0.0</v>
      </c>
      <c r="L891" s="2" t="s">
        <v>29</v>
      </c>
      <c r="N891" s="2">
        <v>1.0</v>
      </c>
      <c r="P891" s="8">
        <f t="shared" si="1"/>
        <v>27351</v>
      </c>
    </row>
    <row r="892" ht="15.75" customHeight="1">
      <c r="A892" s="2">
        <v>1974.0</v>
      </c>
      <c r="B892" s="2">
        <v>1974.0</v>
      </c>
      <c r="C892" s="2">
        <v>3.0</v>
      </c>
      <c r="D892" s="2">
        <v>2.0</v>
      </c>
      <c r="E892" s="2" t="s">
        <v>1016</v>
      </c>
      <c r="H892" s="2" t="s">
        <v>196</v>
      </c>
      <c r="I892" s="2" t="s">
        <v>18</v>
      </c>
      <c r="J892" s="1">
        <v>0.0</v>
      </c>
      <c r="K892" s="1">
        <v>0.0</v>
      </c>
      <c r="L892" s="2" t="s">
        <v>197</v>
      </c>
      <c r="M892" s="2" t="s">
        <v>25</v>
      </c>
      <c r="N892" s="2">
        <v>1.0</v>
      </c>
      <c r="P892" s="8">
        <f t="shared" si="1"/>
        <v>27090</v>
      </c>
    </row>
    <row r="893" ht="15.75" customHeight="1">
      <c r="A893" s="2">
        <v>1974.0</v>
      </c>
      <c r="B893" s="2">
        <v>1974.0</v>
      </c>
      <c r="C893" s="2">
        <v>2.0</v>
      </c>
      <c r="D893" s="2">
        <v>7.0</v>
      </c>
      <c r="E893" s="2" t="s">
        <v>1007</v>
      </c>
      <c r="H893" s="2" t="s">
        <v>749</v>
      </c>
      <c r="I893" s="2" t="s">
        <v>28</v>
      </c>
      <c r="J893" s="1">
        <v>0.0</v>
      </c>
      <c r="K893" s="1">
        <v>0.0</v>
      </c>
      <c r="L893" s="2" t="s">
        <v>421</v>
      </c>
      <c r="N893" s="2">
        <v>1.0</v>
      </c>
      <c r="P893" s="8">
        <f t="shared" si="1"/>
        <v>27067</v>
      </c>
    </row>
    <row r="894" ht="15.75" customHeight="1">
      <c r="A894" s="2">
        <v>1974.0</v>
      </c>
      <c r="B894" s="2">
        <v>1974.0</v>
      </c>
      <c r="C894" s="2">
        <v>1.0</v>
      </c>
      <c r="D894" s="2">
        <v>27.0</v>
      </c>
      <c r="E894" s="2" t="s">
        <v>948</v>
      </c>
      <c r="H894" s="9" t="s">
        <v>17</v>
      </c>
      <c r="I894" s="2" t="s">
        <v>77</v>
      </c>
      <c r="J894" s="1">
        <v>0.0</v>
      </c>
      <c r="K894" s="1">
        <v>0.0</v>
      </c>
      <c r="L894" s="2" t="s">
        <v>19</v>
      </c>
      <c r="M894" s="2" t="s">
        <v>103</v>
      </c>
      <c r="N894" s="2">
        <v>2.0</v>
      </c>
      <c r="P894" s="8">
        <f t="shared" si="1"/>
        <v>27056</v>
      </c>
    </row>
    <row r="895" ht="15.75" customHeight="1">
      <c r="A895" s="2">
        <v>1974.0</v>
      </c>
      <c r="B895" s="2">
        <v>1974.0</v>
      </c>
      <c r="C895" s="2">
        <v>1.0</v>
      </c>
      <c r="D895" s="2">
        <v>16.0</v>
      </c>
      <c r="E895" s="2" t="s">
        <v>943</v>
      </c>
      <c r="H895" s="9" t="s">
        <v>17</v>
      </c>
      <c r="I895" s="2" t="s">
        <v>74</v>
      </c>
      <c r="J895" s="1">
        <v>0.0</v>
      </c>
      <c r="K895" s="1">
        <v>0.0</v>
      </c>
      <c r="L895" s="2" t="s">
        <v>24</v>
      </c>
      <c r="M895" s="2" t="s">
        <v>25</v>
      </c>
      <c r="N895" s="2">
        <v>3.0</v>
      </c>
      <c r="P895" s="8">
        <f t="shared" si="1"/>
        <v>27045</v>
      </c>
    </row>
    <row r="896" ht="15.75" customHeight="1">
      <c r="A896" s="2">
        <v>1974.0</v>
      </c>
      <c r="B896" s="2">
        <v>1974.0</v>
      </c>
      <c r="C896" s="2">
        <v>1.0</v>
      </c>
      <c r="D896" s="2">
        <v>1.0</v>
      </c>
      <c r="E896" s="2" t="s">
        <v>1017</v>
      </c>
      <c r="H896" s="9" t="s">
        <v>17</v>
      </c>
      <c r="I896" s="2" t="s">
        <v>28</v>
      </c>
      <c r="J896" s="1">
        <v>0.0</v>
      </c>
      <c r="K896" s="1">
        <v>0.0</v>
      </c>
      <c r="L896" s="2" t="s">
        <v>29</v>
      </c>
      <c r="N896" s="2">
        <v>1.0</v>
      </c>
      <c r="P896" s="8">
        <f t="shared" si="1"/>
        <v>27030</v>
      </c>
    </row>
    <row r="897" ht="15.75" customHeight="1">
      <c r="A897" s="2">
        <v>1974.0</v>
      </c>
      <c r="B897" s="2">
        <v>1973.0</v>
      </c>
      <c r="C897" s="2">
        <v>12.0</v>
      </c>
      <c r="D897" s="2">
        <v>30.0</v>
      </c>
      <c r="E897" s="2" t="s">
        <v>1018</v>
      </c>
      <c r="H897" s="9" t="s">
        <v>17</v>
      </c>
      <c r="I897" s="2" t="s">
        <v>28</v>
      </c>
      <c r="J897" s="1">
        <v>0.0</v>
      </c>
      <c r="K897" s="1">
        <v>0.0</v>
      </c>
      <c r="L897" s="2" t="s">
        <v>29</v>
      </c>
      <c r="N897" s="2">
        <v>1.0</v>
      </c>
      <c r="P897" s="8">
        <f t="shared" si="1"/>
        <v>27028</v>
      </c>
    </row>
    <row r="898" ht="15.75" customHeight="1">
      <c r="A898" s="2">
        <v>1974.0</v>
      </c>
      <c r="B898" s="2">
        <v>1973.0</v>
      </c>
      <c r="C898" s="2">
        <v>12.0</v>
      </c>
      <c r="D898" s="2">
        <v>29.0</v>
      </c>
      <c r="E898" s="2" t="s">
        <v>1019</v>
      </c>
      <c r="H898" s="2" t="s">
        <v>196</v>
      </c>
      <c r="I898" s="2" t="s">
        <v>40</v>
      </c>
      <c r="J898" s="1">
        <v>0.0</v>
      </c>
      <c r="K898" s="1">
        <v>0.0</v>
      </c>
      <c r="L898" s="2" t="s">
        <v>197</v>
      </c>
      <c r="M898" s="2" t="s">
        <v>25</v>
      </c>
      <c r="N898" s="2">
        <v>1.0</v>
      </c>
      <c r="P898" s="8">
        <f t="shared" si="1"/>
        <v>27027</v>
      </c>
    </row>
    <row r="899" ht="15.75" customHeight="1">
      <c r="A899" s="2">
        <v>1974.0</v>
      </c>
      <c r="B899" s="2">
        <v>1973.0</v>
      </c>
      <c r="C899" s="2">
        <v>11.0</v>
      </c>
      <c r="D899" s="2">
        <v>19.0</v>
      </c>
      <c r="E899" s="2" t="s">
        <v>960</v>
      </c>
      <c r="H899" s="2" t="s">
        <v>17</v>
      </c>
      <c r="I899" s="2" t="s">
        <v>18</v>
      </c>
      <c r="J899" s="1">
        <v>0.0</v>
      </c>
      <c r="K899" s="1">
        <v>0.0</v>
      </c>
      <c r="L899" s="2" t="s">
        <v>29</v>
      </c>
      <c r="N899" s="2">
        <v>1.0</v>
      </c>
      <c r="P899" s="8">
        <f t="shared" si="1"/>
        <v>26987</v>
      </c>
    </row>
    <row r="900" ht="15.75" customHeight="1">
      <c r="A900" s="2">
        <v>1974.0</v>
      </c>
      <c r="B900" s="2">
        <v>1973.0</v>
      </c>
      <c r="C900" s="2">
        <v>10.0</v>
      </c>
      <c r="D900" s="2">
        <v>13.0</v>
      </c>
      <c r="E900" s="2" t="s">
        <v>997</v>
      </c>
      <c r="H900" s="9" t="s">
        <v>17</v>
      </c>
      <c r="I900" s="2" t="s">
        <v>35</v>
      </c>
      <c r="J900" s="1">
        <v>0.0</v>
      </c>
      <c r="K900" s="1">
        <v>0.0</v>
      </c>
      <c r="L900" s="2" t="s">
        <v>29</v>
      </c>
      <c r="N900" s="2">
        <v>2.0</v>
      </c>
      <c r="P900" s="8">
        <f t="shared" si="1"/>
        <v>26950</v>
      </c>
    </row>
    <row r="901" ht="15.75" customHeight="1">
      <c r="A901" s="2">
        <v>1973.0</v>
      </c>
      <c r="B901" s="2">
        <v>1973.0</v>
      </c>
      <c r="C901" s="2">
        <v>3.0</v>
      </c>
      <c r="D901" s="2">
        <v>24.0</v>
      </c>
      <c r="E901" s="2" t="s">
        <v>1020</v>
      </c>
      <c r="H901" s="2" t="s">
        <v>196</v>
      </c>
      <c r="I901" s="2" t="s">
        <v>238</v>
      </c>
      <c r="J901" s="1">
        <v>0.0</v>
      </c>
      <c r="K901" s="1">
        <v>0.0</v>
      </c>
      <c r="L901" s="2" t="s">
        <v>51</v>
      </c>
      <c r="M901" s="2" t="s">
        <v>25</v>
      </c>
      <c r="N901" s="2">
        <v>1.0</v>
      </c>
      <c r="P901" s="8">
        <f t="shared" si="1"/>
        <v>26747</v>
      </c>
    </row>
    <row r="902" ht="15.75" customHeight="1">
      <c r="A902" s="2">
        <v>1973.0</v>
      </c>
      <c r="B902" s="2">
        <v>1973.0</v>
      </c>
      <c r="C902" s="2">
        <v>1.0</v>
      </c>
      <c r="D902" s="2">
        <v>22.0</v>
      </c>
      <c r="E902" s="2" t="s">
        <v>823</v>
      </c>
      <c r="H902" s="2" t="s">
        <v>196</v>
      </c>
      <c r="I902" s="2" t="s">
        <v>49</v>
      </c>
      <c r="J902" s="1">
        <v>0.0</v>
      </c>
      <c r="K902" s="1">
        <v>0.0</v>
      </c>
      <c r="L902" s="2" t="s">
        <v>425</v>
      </c>
      <c r="N902" s="2">
        <v>1.0</v>
      </c>
      <c r="P902" s="8">
        <f t="shared" si="1"/>
        <v>26686</v>
      </c>
    </row>
    <row r="903" ht="15.75" customHeight="1">
      <c r="A903" s="2">
        <v>1973.0</v>
      </c>
      <c r="B903" s="2">
        <v>1972.0</v>
      </c>
      <c r="C903" s="2">
        <v>12.0</v>
      </c>
      <c r="D903" s="2">
        <v>13.0</v>
      </c>
      <c r="E903" s="2" t="s">
        <v>1021</v>
      </c>
      <c r="H903" s="2" t="s">
        <v>196</v>
      </c>
      <c r="I903" s="2" t="s">
        <v>35</v>
      </c>
      <c r="J903" s="1">
        <v>0.0</v>
      </c>
      <c r="K903" s="1">
        <v>0.0</v>
      </c>
      <c r="L903" s="2" t="s">
        <v>197</v>
      </c>
      <c r="M903" s="2" t="s">
        <v>25</v>
      </c>
      <c r="N903" s="2">
        <v>1.0</v>
      </c>
      <c r="P903" s="8">
        <f t="shared" si="1"/>
        <v>26646</v>
      </c>
    </row>
    <row r="904" ht="15.75" customHeight="1">
      <c r="A904" s="2">
        <v>1973.0</v>
      </c>
      <c r="B904" s="2">
        <v>1972.0</v>
      </c>
      <c r="C904" s="2">
        <v>12.0</v>
      </c>
      <c r="D904" s="2">
        <v>8.0</v>
      </c>
      <c r="E904" s="2" t="s">
        <v>781</v>
      </c>
      <c r="H904" s="2" t="s">
        <v>196</v>
      </c>
      <c r="I904" s="2" t="s">
        <v>35</v>
      </c>
      <c r="J904" s="1">
        <v>0.0</v>
      </c>
      <c r="K904" s="1">
        <v>0.0</v>
      </c>
      <c r="L904" s="2" t="s">
        <v>51</v>
      </c>
      <c r="M904" s="2" t="s">
        <v>25</v>
      </c>
      <c r="N904" s="2">
        <v>1.0</v>
      </c>
      <c r="P904" s="8">
        <f t="shared" si="1"/>
        <v>26641</v>
      </c>
    </row>
    <row r="905" ht="15.75" customHeight="1">
      <c r="A905" s="2">
        <v>1972.0</v>
      </c>
      <c r="B905" s="2">
        <v>1972.0</v>
      </c>
      <c r="C905" s="2">
        <v>9.0</v>
      </c>
      <c r="D905" s="2">
        <v>26.0</v>
      </c>
      <c r="E905" s="2" t="s">
        <v>1022</v>
      </c>
      <c r="H905" s="9" t="s">
        <v>17</v>
      </c>
      <c r="I905" s="2" t="s">
        <v>18</v>
      </c>
      <c r="J905" s="1">
        <v>0.0</v>
      </c>
      <c r="K905" s="1">
        <v>0.0</v>
      </c>
      <c r="L905" s="2" t="s">
        <v>19</v>
      </c>
      <c r="N905" s="2">
        <v>1.0</v>
      </c>
      <c r="P905" s="8">
        <f t="shared" si="1"/>
        <v>26568</v>
      </c>
    </row>
    <row r="906" ht="15.75" customHeight="1">
      <c r="A906" s="2">
        <v>1972.0</v>
      </c>
      <c r="B906" s="2">
        <v>1972.0</v>
      </c>
      <c r="C906" s="2">
        <v>8.0</v>
      </c>
      <c r="D906" s="2">
        <v>20.0</v>
      </c>
      <c r="E906" s="2" t="s">
        <v>1023</v>
      </c>
      <c r="H906" s="2" t="s">
        <v>17</v>
      </c>
      <c r="I906" s="2" t="s">
        <v>35</v>
      </c>
      <c r="J906" s="1">
        <v>0.0</v>
      </c>
      <c r="K906" s="1">
        <v>0.0</v>
      </c>
      <c r="L906" s="2" t="s">
        <v>19</v>
      </c>
      <c r="N906" s="2">
        <v>1.0</v>
      </c>
      <c r="P906" s="8">
        <f t="shared" si="1"/>
        <v>26531</v>
      </c>
    </row>
    <row r="907" ht="15.75" customHeight="1">
      <c r="A907" s="2">
        <v>1972.0</v>
      </c>
      <c r="B907" s="2">
        <v>1972.0</v>
      </c>
      <c r="C907" s="2">
        <v>5.0</v>
      </c>
      <c r="D907" s="2">
        <v>10.0</v>
      </c>
      <c r="E907" s="2" t="s">
        <v>1024</v>
      </c>
      <c r="H907" s="2" t="s">
        <v>17</v>
      </c>
      <c r="I907" s="2" t="s">
        <v>77</v>
      </c>
      <c r="J907" s="1">
        <v>0.0</v>
      </c>
      <c r="K907" s="1">
        <v>0.0</v>
      </c>
      <c r="L907" s="2" t="s">
        <v>29</v>
      </c>
      <c r="N907" s="2">
        <v>2.0</v>
      </c>
      <c r="P907" s="8">
        <f t="shared" si="1"/>
        <v>26429</v>
      </c>
    </row>
    <row r="908" ht="15.75" customHeight="1">
      <c r="A908" s="2">
        <v>1972.0</v>
      </c>
      <c r="B908" s="2">
        <v>1972.0</v>
      </c>
      <c r="C908" s="2">
        <v>1.0</v>
      </c>
      <c r="D908" s="2">
        <v>29.0</v>
      </c>
      <c r="E908" s="2" t="s">
        <v>893</v>
      </c>
      <c r="H908" s="2" t="s">
        <v>196</v>
      </c>
      <c r="I908" s="2" t="s">
        <v>80</v>
      </c>
      <c r="J908" s="1">
        <v>0.0</v>
      </c>
      <c r="K908" s="1">
        <v>0.0</v>
      </c>
      <c r="L908" s="2" t="s">
        <v>51</v>
      </c>
      <c r="M908" s="2" t="s">
        <v>25</v>
      </c>
      <c r="N908" s="2">
        <v>2.0</v>
      </c>
      <c r="P908" s="8">
        <f t="shared" si="1"/>
        <v>26327</v>
      </c>
    </row>
    <row r="909" ht="15.75" customHeight="1">
      <c r="A909" s="2">
        <v>1972.0</v>
      </c>
      <c r="B909" s="2">
        <v>1971.0</v>
      </c>
      <c r="C909" s="2">
        <v>10.0</v>
      </c>
      <c r="D909" s="2">
        <v>17.0</v>
      </c>
      <c r="E909" s="2" t="s">
        <v>1025</v>
      </c>
      <c r="H909" s="2" t="s">
        <v>17</v>
      </c>
      <c r="I909" s="2" t="s">
        <v>35</v>
      </c>
      <c r="J909" s="1">
        <v>0.0</v>
      </c>
      <c r="K909" s="1">
        <v>0.0</v>
      </c>
      <c r="L909" s="2" t="s">
        <v>738</v>
      </c>
      <c r="N909" s="2">
        <v>1.0</v>
      </c>
      <c r="P909" s="8">
        <f t="shared" si="1"/>
        <v>26223</v>
      </c>
    </row>
    <row r="910" ht="15.75" customHeight="1">
      <c r="A910" s="2">
        <v>1971.0</v>
      </c>
      <c r="B910" s="2">
        <v>1971.0</v>
      </c>
      <c r="C910" s="2">
        <v>4.0</v>
      </c>
      <c r="D910" s="2">
        <v>12.0</v>
      </c>
      <c r="E910" s="2" t="s">
        <v>1026</v>
      </c>
      <c r="H910" s="2" t="s">
        <v>17</v>
      </c>
      <c r="I910" s="2" t="s">
        <v>28</v>
      </c>
      <c r="J910" s="1">
        <v>0.0</v>
      </c>
      <c r="K910" s="1">
        <v>0.0</v>
      </c>
      <c r="L910" s="2" t="s">
        <v>29</v>
      </c>
      <c r="N910" s="2">
        <v>2.0</v>
      </c>
      <c r="P910" s="8">
        <f t="shared" si="1"/>
        <v>26035</v>
      </c>
    </row>
    <row r="911" ht="15.75" customHeight="1">
      <c r="A911" s="2">
        <v>1971.0</v>
      </c>
      <c r="B911" s="2">
        <v>1971.0</v>
      </c>
      <c r="C911" s="2">
        <v>3.0</v>
      </c>
      <c r="D911" s="2">
        <v>16.0</v>
      </c>
      <c r="E911" s="2" t="s">
        <v>1027</v>
      </c>
      <c r="H911" s="2" t="s">
        <v>17</v>
      </c>
      <c r="I911" s="2" t="s">
        <v>35</v>
      </c>
      <c r="J911" s="1">
        <v>0.0</v>
      </c>
      <c r="K911" s="1">
        <v>0.0</v>
      </c>
      <c r="L911" s="2" t="s">
        <v>217</v>
      </c>
      <c r="M911" s="2" t="s">
        <v>25</v>
      </c>
      <c r="N911" s="2">
        <v>1.0</v>
      </c>
      <c r="P911" s="8">
        <f t="shared" si="1"/>
        <v>26008</v>
      </c>
    </row>
    <row r="912" ht="15.75" customHeight="1">
      <c r="A912" s="2">
        <v>1971.0</v>
      </c>
      <c r="B912" s="2">
        <v>1971.0</v>
      </c>
      <c r="C912" s="2">
        <v>1.0</v>
      </c>
      <c r="D912" s="2">
        <v>24.0</v>
      </c>
      <c r="E912" s="2" t="s">
        <v>987</v>
      </c>
      <c r="H912" s="2" t="s">
        <v>39</v>
      </c>
      <c r="I912" s="2" t="s">
        <v>77</v>
      </c>
      <c r="J912" s="1">
        <v>0.0</v>
      </c>
      <c r="K912" s="1">
        <v>0.0</v>
      </c>
      <c r="L912" s="2" t="s">
        <v>41</v>
      </c>
      <c r="M912" s="2" t="s">
        <v>20</v>
      </c>
      <c r="N912" s="2">
        <v>4.0</v>
      </c>
      <c r="P912" s="8">
        <f t="shared" si="1"/>
        <v>25957</v>
      </c>
    </row>
    <row r="913" ht="15.75" customHeight="1">
      <c r="A913" s="2">
        <v>1971.0</v>
      </c>
      <c r="B913" s="2">
        <v>1971.0</v>
      </c>
      <c r="C913" s="2">
        <v>1.0</v>
      </c>
      <c r="D913" s="2">
        <v>20.0</v>
      </c>
      <c r="E913" s="2" t="s">
        <v>1028</v>
      </c>
      <c r="H913" s="2" t="s">
        <v>17</v>
      </c>
      <c r="I913" s="2" t="s">
        <v>49</v>
      </c>
      <c r="J913" s="1">
        <v>0.0</v>
      </c>
      <c r="K913" s="1">
        <v>0.0</v>
      </c>
      <c r="L913" s="2" t="s">
        <v>45</v>
      </c>
      <c r="N913" s="2">
        <v>1.0</v>
      </c>
      <c r="P913" s="8">
        <f t="shared" si="1"/>
        <v>25953</v>
      </c>
    </row>
    <row r="914" ht="15.75" customHeight="1">
      <c r="A914" s="2">
        <v>1971.0</v>
      </c>
      <c r="B914" s="2">
        <v>1971.0</v>
      </c>
      <c r="C914" s="2">
        <v>1.0</v>
      </c>
      <c r="D914" s="2">
        <v>15.0</v>
      </c>
      <c r="E914" s="2" t="s">
        <v>1029</v>
      </c>
      <c r="H914" s="2" t="s">
        <v>749</v>
      </c>
      <c r="I914" s="2" t="s">
        <v>77</v>
      </c>
      <c r="J914" s="1">
        <v>0.0</v>
      </c>
      <c r="K914" s="1">
        <v>0.0</v>
      </c>
      <c r="L914" s="2" t="s">
        <v>870</v>
      </c>
      <c r="N914" s="2">
        <v>1.0</v>
      </c>
      <c r="P914" s="8">
        <f t="shared" si="1"/>
        <v>25948</v>
      </c>
    </row>
    <row r="915" ht="15.75" customHeight="1">
      <c r="A915" s="2">
        <v>1971.0</v>
      </c>
      <c r="B915" s="2">
        <v>1971.0</v>
      </c>
      <c r="C915" s="2">
        <v>1.0</v>
      </c>
      <c r="D915" s="2">
        <v>10.0</v>
      </c>
      <c r="E915" s="2" t="s">
        <v>1007</v>
      </c>
      <c r="H915" s="2" t="s">
        <v>17</v>
      </c>
      <c r="I915" s="2" t="s">
        <v>28</v>
      </c>
      <c r="J915" s="1">
        <v>0.0</v>
      </c>
      <c r="K915" s="1">
        <v>0.0</v>
      </c>
      <c r="L915" s="2" t="s">
        <v>29</v>
      </c>
      <c r="N915" s="2">
        <v>1.0</v>
      </c>
      <c r="P915" s="8">
        <f t="shared" si="1"/>
        <v>25943</v>
      </c>
    </row>
    <row r="916" ht="15.75" customHeight="1">
      <c r="A916" s="2">
        <v>1971.0</v>
      </c>
      <c r="B916" s="2">
        <v>1970.0</v>
      </c>
      <c r="C916" s="2">
        <v>12.0</v>
      </c>
      <c r="D916" s="2">
        <v>28.0</v>
      </c>
      <c r="E916" s="2" t="s">
        <v>712</v>
      </c>
      <c r="H916" s="2" t="s">
        <v>196</v>
      </c>
      <c r="I916" s="2" t="s">
        <v>77</v>
      </c>
      <c r="J916" s="1">
        <v>0.0</v>
      </c>
      <c r="K916" s="1">
        <v>0.0</v>
      </c>
      <c r="L916" s="2" t="s">
        <v>197</v>
      </c>
      <c r="M916" s="2" t="s">
        <v>25</v>
      </c>
      <c r="N916" s="2">
        <v>1.0</v>
      </c>
      <c r="P916" s="8">
        <f t="shared" si="1"/>
        <v>25930</v>
      </c>
    </row>
    <row r="917" ht="15.75" customHeight="1">
      <c r="A917" s="2">
        <v>1971.0</v>
      </c>
      <c r="B917" s="2">
        <v>1970.0</v>
      </c>
      <c r="C917" s="2">
        <v>12.0</v>
      </c>
      <c r="D917" s="2">
        <v>28.0</v>
      </c>
      <c r="E917" s="2" t="s">
        <v>1030</v>
      </c>
      <c r="H917" s="2" t="s">
        <v>17</v>
      </c>
      <c r="I917" s="2" t="s">
        <v>80</v>
      </c>
      <c r="J917" s="1">
        <v>0.0</v>
      </c>
      <c r="K917" s="1">
        <v>0.0</v>
      </c>
      <c r="L917" s="2" t="s">
        <v>45</v>
      </c>
      <c r="N917" s="2">
        <v>1.0</v>
      </c>
      <c r="P917" s="8">
        <f t="shared" si="1"/>
        <v>25930</v>
      </c>
    </row>
    <row r="918" ht="15.75" customHeight="1">
      <c r="A918" s="2">
        <v>1970.0</v>
      </c>
      <c r="B918" s="2">
        <v>1970.0</v>
      </c>
      <c r="C918" s="2">
        <v>3.0</v>
      </c>
      <c r="D918" s="2">
        <v>2.0</v>
      </c>
      <c r="E918" s="2" t="s">
        <v>888</v>
      </c>
      <c r="H918" s="2" t="s">
        <v>749</v>
      </c>
      <c r="I918" s="2" t="s">
        <v>35</v>
      </c>
      <c r="J918" s="1">
        <v>0.0</v>
      </c>
      <c r="K918" s="1">
        <v>0.0</v>
      </c>
      <c r="L918" s="2" t="s">
        <v>421</v>
      </c>
      <c r="N918" s="2">
        <v>1.0</v>
      </c>
      <c r="P918" s="8">
        <f t="shared" si="1"/>
        <v>25629</v>
      </c>
    </row>
    <row r="919" ht="15.75" customHeight="1">
      <c r="A919" s="2">
        <v>1970.0</v>
      </c>
      <c r="B919" s="2">
        <v>1970.0</v>
      </c>
      <c r="C919" s="2">
        <v>1.0</v>
      </c>
      <c r="D919" s="2">
        <v>29.0</v>
      </c>
      <c r="E919" s="2" t="s">
        <v>925</v>
      </c>
      <c r="H919" s="2" t="s">
        <v>196</v>
      </c>
      <c r="I919" s="2" t="s">
        <v>40</v>
      </c>
      <c r="J919" s="1">
        <v>0.0</v>
      </c>
      <c r="K919" s="1">
        <v>0.0</v>
      </c>
      <c r="L919" s="2" t="s">
        <v>197</v>
      </c>
      <c r="M919" s="2" t="s">
        <v>25</v>
      </c>
      <c r="N919" s="2">
        <v>1.0</v>
      </c>
      <c r="P919" s="8">
        <f t="shared" si="1"/>
        <v>25597</v>
      </c>
    </row>
    <row r="920" ht="15.75" customHeight="1">
      <c r="A920" s="2">
        <v>1970.0</v>
      </c>
      <c r="B920" s="2">
        <v>1969.0</v>
      </c>
      <c r="C920" s="2">
        <v>12.0</v>
      </c>
      <c r="D920" s="2">
        <v>29.0</v>
      </c>
      <c r="E920" s="2" t="s">
        <v>1031</v>
      </c>
      <c r="H920" s="9" t="s">
        <v>17</v>
      </c>
      <c r="I920" s="2" t="s">
        <v>85</v>
      </c>
      <c r="J920" s="1">
        <v>0.0</v>
      </c>
      <c r="K920" s="1">
        <v>0.0</v>
      </c>
      <c r="L920" s="2" t="s">
        <v>29</v>
      </c>
      <c r="N920" s="2">
        <v>5.0</v>
      </c>
      <c r="P920" s="8">
        <f t="shared" si="1"/>
        <v>25566</v>
      </c>
    </row>
    <row r="921" ht="15.75" customHeight="1">
      <c r="A921" s="2">
        <v>1969.0</v>
      </c>
      <c r="B921" s="2">
        <v>1969.0</v>
      </c>
      <c r="C921" s="2">
        <v>3.0</v>
      </c>
      <c r="D921" s="2">
        <v>16.0</v>
      </c>
      <c r="E921" s="2" t="s">
        <v>1032</v>
      </c>
      <c r="H921" s="9" t="s">
        <v>749</v>
      </c>
      <c r="I921" s="2" t="s">
        <v>85</v>
      </c>
      <c r="J921" s="1">
        <v>0.0</v>
      </c>
      <c r="K921" s="1">
        <v>0.0</v>
      </c>
      <c r="L921" s="2" t="s">
        <v>870</v>
      </c>
      <c r="N921" s="2">
        <v>1.0</v>
      </c>
      <c r="P921" s="8">
        <f t="shared" si="1"/>
        <v>25278</v>
      </c>
    </row>
    <row r="922" ht="15.75" customHeight="1">
      <c r="A922" s="2">
        <v>1969.0</v>
      </c>
      <c r="B922" s="2">
        <v>1969.0</v>
      </c>
      <c r="C922" s="2">
        <v>3.0</v>
      </c>
      <c r="D922" s="2">
        <v>9.0</v>
      </c>
      <c r="E922" s="2" t="s">
        <v>916</v>
      </c>
      <c r="H922" s="9" t="s">
        <v>17</v>
      </c>
      <c r="I922" s="2" t="s">
        <v>77</v>
      </c>
      <c r="J922" s="1">
        <v>0.0</v>
      </c>
      <c r="K922" s="1">
        <v>0.0</v>
      </c>
      <c r="L922" s="2" t="s">
        <v>24</v>
      </c>
      <c r="M922" s="2" t="s">
        <v>25</v>
      </c>
      <c r="N922" s="2">
        <v>1.0</v>
      </c>
      <c r="P922" s="8">
        <f t="shared" si="1"/>
        <v>25271</v>
      </c>
    </row>
    <row r="923" ht="15.75" customHeight="1">
      <c r="A923" s="2">
        <v>1969.0</v>
      </c>
      <c r="B923" s="2">
        <v>1969.0</v>
      </c>
      <c r="C923" s="2">
        <v>2.0</v>
      </c>
      <c r="D923" s="2">
        <v>25.0</v>
      </c>
      <c r="E923" s="2" t="s">
        <v>1033</v>
      </c>
      <c r="H923" s="2" t="s">
        <v>39</v>
      </c>
      <c r="I923" s="2" t="s">
        <v>80</v>
      </c>
      <c r="J923" s="1">
        <v>0.0</v>
      </c>
      <c r="K923" s="1">
        <v>0.0</v>
      </c>
      <c r="L923" s="2" t="s">
        <v>41</v>
      </c>
      <c r="M923" s="2" t="s">
        <v>20</v>
      </c>
      <c r="N923" s="2">
        <v>2.0</v>
      </c>
      <c r="P923" s="8">
        <f t="shared" si="1"/>
        <v>25259</v>
      </c>
    </row>
    <row r="924" ht="15.75" customHeight="1">
      <c r="A924" s="2">
        <v>1969.0</v>
      </c>
      <c r="B924" s="2">
        <v>1969.0</v>
      </c>
      <c r="C924" s="2">
        <v>2.0</v>
      </c>
      <c r="D924" s="2">
        <v>24.0</v>
      </c>
      <c r="E924" s="2" t="s">
        <v>1034</v>
      </c>
      <c r="H924" s="9" t="s">
        <v>845</v>
      </c>
      <c r="I924" s="2" t="s">
        <v>18</v>
      </c>
      <c r="J924" s="1">
        <v>0.0</v>
      </c>
      <c r="K924" s="1">
        <v>0.0</v>
      </c>
      <c r="L924" s="2" t="s">
        <v>41</v>
      </c>
      <c r="M924" s="2" t="s">
        <v>20</v>
      </c>
      <c r="N924" s="2">
        <v>1.0</v>
      </c>
      <c r="P924" s="8">
        <f t="shared" si="1"/>
        <v>25258</v>
      </c>
    </row>
    <row r="925" ht="15.75" customHeight="1">
      <c r="A925" s="2">
        <v>1969.0</v>
      </c>
      <c r="B925" s="2">
        <v>1968.0</v>
      </c>
      <c r="C925" s="2">
        <v>12.0</v>
      </c>
      <c r="D925" s="2">
        <v>27.0</v>
      </c>
      <c r="E925" s="2" t="s">
        <v>1035</v>
      </c>
      <c r="H925" s="2" t="s">
        <v>196</v>
      </c>
      <c r="I925" s="2" t="s">
        <v>80</v>
      </c>
      <c r="J925" s="1">
        <v>0.0</v>
      </c>
      <c r="K925" s="1">
        <v>0.0</v>
      </c>
      <c r="L925" s="2" t="s">
        <v>24</v>
      </c>
      <c r="M925" s="2" t="s">
        <v>25</v>
      </c>
      <c r="N925" s="2">
        <v>1.0</v>
      </c>
      <c r="P925" s="8">
        <f t="shared" si="1"/>
        <v>25199</v>
      </c>
    </row>
    <row r="926" ht="15.75" customHeight="1">
      <c r="A926" s="2">
        <v>1968.0</v>
      </c>
      <c r="B926" s="2">
        <v>1968.0</v>
      </c>
      <c r="C926" s="2">
        <v>3.0</v>
      </c>
      <c r="D926" s="2">
        <v>17.0</v>
      </c>
      <c r="E926" s="2" t="s">
        <v>984</v>
      </c>
      <c r="H926" s="2" t="s">
        <v>196</v>
      </c>
      <c r="I926" s="2" t="s">
        <v>18</v>
      </c>
      <c r="J926" s="1">
        <v>0.0</v>
      </c>
      <c r="K926" s="1">
        <v>0.0</v>
      </c>
      <c r="L926" s="2" t="s">
        <v>197</v>
      </c>
      <c r="M926" s="2" t="s">
        <v>25</v>
      </c>
      <c r="N926" s="2">
        <v>1.0</v>
      </c>
      <c r="P926" s="8">
        <f t="shared" si="1"/>
        <v>24914</v>
      </c>
    </row>
    <row r="927" ht="15.75" customHeight="1">
      <c r="A927" s="2">
        <v>1968.0</v>
      </c>
      <c r="B927" s="2">
        <v>1968.0</v>
      </c>
      <c r="C927" s="2">
        <v>2.0</v>
      </c>
      <c r="D927" s="2">
        <v>24.0</v>
      </c>
      <c r="E927" s="2" t="s">
        <v>974</v>
      </c>
      <c r="H927" s="2" t="s">
        <v>17</v>
      </c>
      <c r="I927" s="2" t="s">
        <v>35</v>
      </c>
      <c r="J927" s="1">
        <v>0.0</v>
      </c>
      <c r="K927" s="1">
        <v>0.0</v>
      </c>
      <c r="L927" s="2" t="s">
        <v>45</v>
      </c>
      <c r="N927" s="2">
        <v>1.0</v>
      </c>
      <c r="P927" s="8">
        <f t="shared" si="1"/>
        <v>24892</v>
      </c>
    </row>
    <row r="928" ht="15.75" customHeight="1">
      <c r="A928" s="2">
        <v>1968.0</v>
      </c>
      <c r="B928" s="2">
        <v>1968.0</v>
      </c>
      <c r="C928" s="2">
        <v>2.0</v>
      </c>
      <c r="D928" s="2">
        <v>19.0</v>
      </c>
      <c r="E928" s="2" t="s">
        <v>1036</v>
      </c>
      <c r="H928" s="9" t="s">
        <v>17</v>
      </c>
      <c r="I928" s="2" t="s">
        <v>40</v>
      </c>
      <c r="J928" s="1">
        <v>0.0</v>
      </c>
      <c r="K928" s="1">
        <v>0.0</v>
      </c>
      <c r="L928" s="2" t="s">
        <v>19</v>
      </c>
      <c r="N928" s="2">
        <v>1.0</v>
      </c>
      <c r="P928" s="8">
        <f t="shared" si="1"/>
        <v>24887</v>
      </c>
    </row>
    <row r="929" ht="15.75" customHeight="1">
      <c r="A929" s="2">
        <v>1968.0</v>
      </c>
      <c r="B929" s="2">
        <v>1967.0</v>
      </c>
      <c r="C929" s="2">
        <v>11.0</v>
      </c>
      <c r="D929" s="2">
        <v>26.0</v>
      </c>
      <c r="E929" s="2" t="s">
        <v>615</v>
      </c>
      <c r="H929" s="2" t="s">
        <v>196</v>
      </c>
      <c r="I929" s="2" t="s">
        <v>35</v>
      </c>
      <c r="J929" s="1">
        <v>0.0</v>
      </c>
      <c r="K929" s="1">
        <v>0.0</v>
      </c>
      <c r="L929" s="2" t="s">
        <v>384</v>
      </c>
      <c r="N929" s="2">
        <v>1.0</v>
      </c>
      <c r="P929" s="8">
        <f t="shared" si="1"/>
        <v>24802</v>
      </c>
    </row>
    <row r="930" ht="15.75" customHeight="1">
      <c r="A930" s="2">
        <v>1967.0</v>
      </c>
      <c r="B930" s="2">
        <v>1967.0</v>
      </c>
      <c r="C930" s="2">
        <v>2.0</v>
      </c>
      <c r="D930" s="2">
        <v>18.0</v>
      </c>
      <c r="E930" s="2" t="s">
        <v>1037</v>
      </c>
      <c r="H930" s="2" t="s">
        <v>196</v>
      </c>
      <c r="I930" s="2" t="s">
        <v>49</v>
      </c>
      <c r="J930" s="1">
        <v>0.0</v>
      </c>
      <c r="K930" s="1">
        <v>0.0</v>
      </c>
      <c r="L930" s="2" t="s">
        <v>384</v>
      </c>
      <c r="N930" s="2">
        <v>2.0</v>
      </c>
      <c r="P930" s="8">
        <f t="shared" si="1"/>
        <v>24521</v>
      </c>
    </row>
    <row r="931" ht="15.75" customHeight="1">
      <c r="A931" s="2">
        <v>1967.0</v>
      </c>
      <c r="B931" s="2">
        <v>1967.0</v>
      </c>
      <c r="C931" s="2">
        <v>2.0</v>
      </c>
      <c r="D931" s="2">
        <v>12.0</v>
      </c>
      <c r="E931" s="2" t="s">
        <v>1038</v>
      </c>
      <c r="H931" s="2" t="s">
        <v>17</v>
      </c>
      <c r="I931" s="2" t="s">
        <v>40</v>
      </c>
      <c r="J931" s="1">
        <v>0.0</v>
      </c>
      <c r="K931" s="1">
        <v>0.0</v>
      </c>
      <c r="L931" s="2" t="s">
        <v>29</v>
      </c>
      <c r="N931" s="2">
        <v>2.0</v>
      </c>
      <c r="P931" s="8">
        <f t="shared" si="1"/>
        <v>24515</v>
      </c>
    </row>
    <row r="932" ht="15.75" customHeight="1">
      <c r="A932" s="2">
        <v>1967.0</v>
      </c>
      <c r="B932" s="2">
        <v>1967.0</v>
      </c>
      <c r="C932" s="2">
        <v>1.0</v>
      </c>
      <c r="D932" s="2">
        <v>7.0</v>
      </c>
      <c r="E932" s="2" t="s">
        <v>910</v>
      </c>
      <c r="H932" s="2" t="s">
        <v>17</v>
      </c>
      <c r="I932" s="2" t="s">
        <v>35</v>
      </c>
      <c r="J932" s="1">
        <v>0.0</v>
      </c>
      <c r="K932" s="1">
        <v>0.0</v>
      </c>
      <c r="L932" s="2" t="s">
        <v>29</v>
      </c>
      <c r="N932" s="2">
        <v>2.0</v>
      </c>
      <c r="P932" s="8">
        <f t="shared" si="1"/>
        <v>24479</v>
      </c>
    </row>
    <row r="933" ht="15.75" customHeight="1">
      <c r="A933" s="2">
        <v>1966.0</v>
      </c>
      <c r="B933" s="2">
        <v>1966.0</v>
      </c>
      <c r="C933" s="2">
        <v>2.0</v>
      </c>
      <c r="D933" s="2">
        <v>5.0</v>
      </c>
      <c r="E933" s="2" t="s">
        <v>712</v>
      </c>
      <c r="H933" s="2" t="s">
        <v>17</v>
      </c>
      <c r="I933" s="2" t="s">
        <v>77</v>
      </c>
      <c r="J933" s="1">
        <v>0.0</v>
      </c>
      <c r="K933" s="1">
        <v>0.0</v>
      </c>
      <c r="L933" s="2" t="s">
        <v>24</v>
      </c>
      <c r="M933" s="2" t="s">
        <v>25</v>
      </c>
      <c r="N933" s="2">
        <v>1.0</v>
      </c>
      <c r="P933" s="8">
        <f t="shared" si="1"/>
        <v>24143</v>
      </c>
    </row>
    <row r="934" ht="15.75" customHeight="1">
      <c r="A934" s="2">
        <v>1966.0</v>
      </c>
      <c r="B934" s="2">
        <v>1965.0</v>
      </c>
      <c r="C934" s="2">
        <v>12.0</v>
      </c>
      <c r="D934" s="2">
        <v>31.0</v>
      </c>
      <c r="E934" s="2" t="s">
        <v>936</v>
      </c>
      <c r="H934" s="2" t="s">
        <v>196</v>
      </c>
      <c r="I934" s="2" t="s">
        <v>40</v>
      </c>
      <c r="J934" s="1">
        <v>0.0</v>
      </c>
      <c r="K934" s="1">
        <v>0.0</v>
      </c>
      <c r="L934" s="2" t="s">
        <v>197</v>
      </c>
      <c r="M934" s="2" t="s">
        <v>25</v>
      </c>
      <c r="N934" s="2">
        <v>1.0</v>
      </c>
      <c r="P934" s="8">
        <f t="shared" si="1"/>
        <v>24107</v>
      </c>
    </row>
    <row r="935" ht="15.75" customHeight="1">
      <c r="A935" s="2">
        <v>1966.0</v>
      </c>
      <c r="B935" s="2">
        <v>1965.0</v>
      </c>
      <c r="C935" s="2">
        <v>12.0</v>
      </c>
      <c r="D935" s="2">
        <v>20.0</v>
      </c>
      <c r="E935" s="2" t="s">
        <v>1039</v>
      </c>
      <c r="H935" s="2" t="s">
        <v>196</v>
      </c>
      <c r="I935" s="2" t="s">
        <v>35</v>
      </c>
      <c r="J935" s="1">
        <v>0.0</v>
      </c>
      <c r="K935" s="1">
        <v>0.0</v>
      </c>
      <c r="L935" s="2" t="s">
        <v>197</v>
      </c>
      <c r="M935" s="2" t="s">
        <v>25</v>
      </c>
      <c r="N935" s="2">
        <v>1.0</v>
      </c>
      <c r="P935" s="8">
        <f t="shared" si="1"/>
        <v>24096</v>
      </c>
    </row>
    <row r="936" ht="15.75" customHeight="1">
      <c r="A936" s="2">
        <v>1965.0</v>
      </c>
      <c r="B936" s="2">
        <v>1965.0</v>
      </c>
      <c r="C936" s="2">
        <v>4.0</v>
      </c>
      <c r="D936" s="2">
        <v>1.0</v>
      </c>
      <c r="E936" s="2" t="s">
        <v>1040</v>
      </c>
      <c r="H936" s="2" t="s">
        <v>989</v>
      </c>
      <c r="I936" s="2" t="s">
        <v>35</v>
      </c>
      <c r="J936" s="1">
        <v>0.0</v>
      </c>
      <c r="K936" s="1">
        <v>0.0</v>
      </c>
      <c r="L936" s="2" t="s">
        <v>652</v>
      </c>
      <c r="N936" s="2">
        <v>1.0</v>
      </c>
      <c r="P936" s="8">
        <f t="shared" si="1"/>
        <v>23833</v>
      </c>
    </row>
    <row r="937" ht="15.75" customHeight="1">
      <c r="A937" s="2">
        <v>1965.0</v>
      </c>
      <c r="B937" s="2">
        <v>1965.0</v>
      </c>
      <c r="C937" s="2">
        <v>1.0</v>
      </c>
      <c r="D937" s="2">
        <v>31.0</v>
      </c>
      <c r="E937" s="2" t="s">
        <v>1041</v>
      </c>
      <c r="H937" s="2" t="s">
        <v>989</v>
      </c>
      <c r="I937" s="2" t="s">
        <v>35</v>
      </c>
      <c r="J937" s="1">
        <v>0.0</v>
      </c>
      <c r="K937" s="1">
        <v>0.0</v>
      </c>
      <c r="L937" s="2" t="s">
        <v>652</v>
      </c>
      <c r="N937" s="2">
        <v>1.0</v>
      </c>
      <c r="P937" s="8">
        <f t="shared" si="1"/>
        <v>23773</v>
      </c>
    </row>
    <row r="938" ht="15.75" customHeight="1">
      <c r="A938" s="2">
        <v>1965.0</v>
      </c>
      <c r="B938" s="2">
        <v>1965.0</v>
      </c>
      <c r="C938" s="2">
        <v>1.0</v>
      </c>
      <c r="D938" s="2">
        <v>29.0</v>
      </c>
      <c r="E938" s="1" t="s">
        <v>1042</v>
      </c>
      <c r="H938" s="1" t="s">
        <v>749</v>
      </c>
      <c r="I938" s="2" t="s">
        <v>49</v>
      </c>
      <c r="J938" s="1">
        <v>0.0</v>
      </c>
      <c r="K938" s="1">
        <v>0.0</v>
      </c>
      <c r="L938" s="2" t="s">
        <v>652</v>
      </c>
      <c r="M938" s="1" t="s">
        <v>1043</v>
      </c>
      <c r="N938" s="2">
        <v>1.0</v>
      </c>
      <c r="P938" s="8">
        <f t="shared" si="1"/>
        <v>23771</v>
      </c>
    </row>
    <row r="939" ht="15.75" customHeight="1">
      <c r="A939" s="2">
        <v>1965.0</v>
      </c>
      <c r="B939" s="2">
        <v>1965.0</v>
      </c>
      <c r="C939" s="2">
        <v>1.0</v>
      </c>
      <c r="D939" s="2">
        <v>2.0</v>
      </c>
      <c r="E939" s="2" t="s">
        <v>930</v>
      </c>
      <c r="H939" s="2" t="s">
        <v>17</v>
      </c>
      <c r="I939" s="2" t="s">
        <v>18</v>
      </c>
      <c r="J939" s="1">
        <v>0.0</v>
      </c>
      <c r="K939" s="1">
        <v>0.0</v>
      </c>
      <c r="L939" s="2" t="s">
        <v>19</v>
      </c>
      <c r="M939" s="2" t="s">
        <v>103</v>
      </c>
      <c r="N939" s="2">
        <v>1.0</v>
      </c>
      <c r="P939" s="8">
        <f t="shared" si="1"/>
        <v>23744</v>
      </c>
    </row>
    <row r="940" ht="15.75" customHeight="1">
      <c r="A940" s="2">
        <v>1964.0</v>
      </c>
      <c r="B940" s="2">
        <v>1964.0</v>
      </c>
      <c r="C940" s="2">
        <v>4.0</v>
      </c>
      <c r="D940" s="2">
        <v>4.0</v>
      </c>
      <c r="E940" s="2" t="s">
        <v>744</v>
      </c>
      <c r="H940" s="2" t="s">
        <v>17</v>
      </c>
      <c r="I940" s="2" t="s">
        <v>166</v>
      </c>
      <c r="J940" s="1">
        <v>0.0</v>
      </c>
      <c r="K940" s="1">
        <v>0.0</v>
      </c>
      <c r="L940" s="2" t="s">
        <v>29</v>
      </c>
      <c r="N940" s="2">
        <v>2.0</v>
      </c>
      <c r="P940" s="8">
        <f t="shared" si="1"/>
        <v>23471</v>
      </c>
    </row>
    <row r="941" ht="15.75" customHeight="1">
      <c r="A941" s="2">
        <v>1964.0</v>
      </c>
      <c r="B941" s="2">
        <v>1964.0</v>
      </c>
      <c r="C941" s="2">
        <v>3.0</v>
      </c>
      <c r="D941" s="2">
        <v>29.0</v>
      </c>
      <c r="E941" s="2" t="s">
        <v>1044</v>
      </c>
      <c r="H941" s="2" t="s">
        <v>196</v>
      </c>
      <c r="I941" s="2" t="s">
        <v>40</v>
      </c>
      <c r="J941" s="1">
        <v>0.0</v>
      </c>
      <c r="K941" s="1">
        <v>0.0</v>
      </c>
      <c r="L941" s="2" t="s">
        <v>1045</v>
      </c>
      <c r="N941" s="2">
        <v>1.0</v>
      </c>
      <c r="P941" s="8">
        <f t="shared" si="1"/>
        <v>23465</v>
      </c>
    </row>
    <row r="942" ht="15.75" customHeight="1">
      <c r="A942" s="2">
        <v>1964.0</v>
      </c>
      <c r="B942" s="2">
        <v>1964.0</v>
      </c>
      <c r="C942" s="2">
        <v>3.0</v>
      </c>
      <c r="D942" s="2">
        <v>14.0</v>
      </c>
      <c r="E942" s="2" t="s">
        <v>1046</v>
      </c>
      <c r="H942" s="2" t="s">
        <v>196</v>
      </c>
      <c r="I942" s="2" t="s">
        <v>18</v>
      </c>
      <c r="J942" s="1">
        <v>0.0</v>
      </c>
      <c r="K942" s="1">
        <v>0.0</v>
      </c>
      <c r="L942" s="2" t="s">
        <v>51</v>
      </c>
      <c r="M942" s="2" t="s">
        <v>25</v>
      </c>
      <c r="N942" s="2">
        <v>1.0</v>
      </c>
      <c r="P942" s="8">
        <f t="shared" si="1"/>
        <v>23450</v>
      </c>
    </row>
    <row r="943" ht="15.0" customHeight="1">
      <c r="A943" s="2">
        <v>1964.0</v>
      </c>
      <c r="B943" s="2">
        <v>1964.0</v>
      </c>
      <c r="C943" s="2">
        <v>3.0</v>
      </c>
      <c r="D943" s="2">
        <v>12.0</v>
      </c>
      <c r="E943" s="2" t="s">
        <v>1047</v>
      </c>
      <c r="H943" s="2" t="s">
        <v>196</v>
      </c>
      <c r="I943" s="2" t="s">
        <v>74</v>
      </c>
      <c r="J943" s="1">
        <v>0.0</v>
      </c>
      <c r="K943" s="1">
        <v>0.0</v>
      </c>
      <c r="L943" s="2" t="s">
        <v>384</v>
      </c>
      <c r="N943" s="2">
        <v>1.0</v>
      </c>
      <c r="P943" s="8">
        <f t="shared" si="1"/>
        <v>23448</v>
      </c>
    </row>
    <row r="944" ht="15.0" customHeight="1">
      <c r="A944" s="2">
        <v>1964.0</v>
      </c>
      <c r="B944" s="2">
        <v>1964.0</v>
      </c>
      <c r="C944" s="2">
        <v>3.0</v>
      </c>
      <c r="D944" s="2">
        <v>7.0</v>
      </c>
      <c r="E944" s="2" t="s">
        <v>1006</v>
      </c>
      <c r="H944" s="2" t="s">
        <v>39</v>
      </c>
      <c r="I944" s="2" t="s">
        <v>49</v>
      </c>
      <c r="J944" s="1">
        <v>0.0</v>
      </c>
      <c r="K944" s="1">
        <v>0.0</v>
      </c>
      <c r="L944" s="2" t="s">
        <v>402</v>
      </c>
      <c r="N944" s="2">
        <v>2.0</v>
      </c>
      <c r="P944" s="8">
        <f t="shared" si="1"/>
        <v>23443</v>
      </c>
    </row>
    <row r="945" ht="15.0" customHeight="1">
      <c r="A945" s="2">
        <v>1963.0</v>
      </c>
      <c r="B945" s="2">
        <v>1963.0</v>
      </c>
      <c r="C945" s="2">
        <v>5.0</v>
      </c>
      <c r="D945" s="2">
        <v>18.0</v>
      </c>
      <c r="E945" s="2" t="s">
        <v>1048</v>
      </c>
      <c r="H945" s="2" t="s">
        <v>17</v>
      </c>
      <c r="I945" s="2" t="s">
        <v>77</v>
      </c>
      <c r="J945" s="1">
        <v>0.0</v>
      </c>
      <c r="K945" s="1">
        <v>0.0</v>
      </c>
      <c r="L945" s="2" t="s">
        <v>29</v>
      </c>
      <c r="N945" s="2">
        <v>1.0</v>
      </c>
      <c r="P945" s="8">
        <f t="shared" si="1"/>
        <v>23149</v>
      </c>
    </row>
    <row r="946" ht="15.0" customHeight="1">
      <c r="A946" s="2">
        <v>1963.0</v>
      </c>
      <c r="B946" s="2">
        <v>1963.0</v>
      </c>
      <c r="C946" s="2">
        <v>3.0</v>
      </c>
      <c r="D946" s="2">
        <v>3.0</v>
      </c>
      <c r="E946" s="2" t="s">
        <v>888</v>
      </c>
      <c r="H946" s="2" t="s">
        <v>749</v>
      </c>
      <c r="I946" s="2" t="s">
        <v>35</v>
      </c>
      <c r="J946" s="1">
        <v>0.0</v>
      </c>
      <c r="K946" s="1">
        <v>0.0</v>
      </c>
      <c r="L946" s="2" t="s">
        <v>870</v>
      </c>
      <c r="N946" s="2">
        <v>3.0</v>
      </c>
      <c r="P946" s="8">
        <f t="shared" si="1"/>
        <v>23073</v>
      </c>
    </row>
    <row r="947" ht="15.0" customHeight="1">
      <c r="A947" s="2">
        <v>1963.0</v>
      </c>
      <c r="B947" s="2">
        <v>1962.0</v>
      </c>
      <c r="C947" s="2">
        <v>12.0</v>
      </c>
      <c r="D947" s="2">
        <v>31.0</v>
      </c>
      <c r="E947" s="2" t="s">
        <v>1049</v>
      </c>
      <c r="H947" s="2" t="s">
        <v>39</v>
      </c>
      <c r="I947" s="2" t="s">
        <v>746</v>
      </c>
      <c r="J947" s="1">
        <v>0.0</v>
      </c>
      <c r="K947" s="1">
        <v>0.0</v>
      </c>
      <c r="L947" s="2" t="s">
        <v>402</v>
      </c>
      <c r="N947" s="2">
        <v>2.0</v>
      </c>
      <c r="P947" s="8">
        <f t="shared" si="1"/>
        <v>23011</v>
      </c>
    </row>
    <row r="948" ht="15.0" customHeight="1">
      <c r="A948" s="2">
        <v>1962.0</v>
      </c>
      <c r="B948" s="2">
        <v>1962.0</v>
      </c>
      <c r="C948" s="2">
        <v>5.0</v>
      </c>
      <c r="D948" s="2">
        <v>20.0</v>
      </c>
      <c r="E948" s="2" t="s">
        <v>1050</v>
      </c>
      <c r="H948" s="2" t="s">
        <v>17</v>
      </c>
      <c r="I948" s="2" t="s">
        <v>77</v>
      </c>
      <c r="J948" s="1">
        <v>0.0</v>
      </c>
      <c r="K948" s="1">
        <v>0.0</v>
      </c>
      <c r="L948" s="2" t="s">
        <v>29</v>
      </c>
      <c r="N948" s="2">
        <v>1.0</v>
      </c>
      <c r="P948" s="8">
        <f t="shared" si="1"/>
        <v>22786</v>
      </c>
    </row>
    <row r="949" ht="15.0" customHeight="1">
      <c r="A949" s="2">
        <v>1962.0</v>
      </c>
      <c r="B949" s="2">
        <v>1962.0</v>
      </c>
      <c r="C949" s="2">
        <v>3.0</v>
      </c>
      <c r="D949" s="2">
        <v>25.0</v>
      </c>
      <c r="E949" s="2" t="s">
        <v>959</v>
      </c>
      <c r="H949" s="2" t="s">
        <v>17</v>
      </c>
      <c r="I949" s="2" t="s">
        <v>77</v>
      </c>
      <c r="J949" s="1">
        <v>0.0</v>
      </c>
      <c r="K949" s="1">
        <v>0.0</v>
      </c>
      <c r="L949" s="2" t="s">
        <v>29</v>
      </c>
      <c r="N949" s="2">
        <v>2.0</v>
      </c>
      <c r="P949" s="8">
        <f t="shared" si="1"/>
        <v>22730</v>
      </c>
    </row>
    <row r="950" ht="15.0" customHeight="1">
      <c r="A950" s="2">
        <v>1962.0</v>
      </c>
      <c r="B950" s="2">
        <v>1962.0</v>
      </c>
      <c r="C950" s="2">
        <v>2.0</v>
      </c>
      <c r="D950" s="2">
        <v>10.0</v>
      </c>
      <c r="E950" s="2" t="s">
        <v>1051</v>
      </c>
      <c r="H950" s="2" t="s">
        <v>17</v>
      </c>
      <c r="I950" s="2" t="s">
        <v>74</v>
      </c>
      <c r="J950" s="1">
        <v>0.0</v>
      </c>
      <c r="K950" s="1">
        <v>0.0</v>
      </c>
      <c r="L950" s="2" t="s">
        <v>19</v>
      </c>
      <c r="M950" s="2" t="s">
        <v>103</v>
      </c>
      <c r="N950" s="2">
        <v>1.0</v>
      </c>
      <c r="P950" s="8">
        <f t="shared" si="1"/>
        <v>22687</v>
      </c>
    </row>
    <row r="951" ht="15.0" customHeight="1">
      <c r="A951" s="2">
        <v>1962.0</v>
      </c>
      <c r="B951" s="2">
        <v>1962.0</v>
      </c>
      <c r="C951" s="2">
        <v>1.0</v>
      </c>
      <c r="D951" s="2">
        <v>21.0</v>
      </c>
      <c r="E951" s="2" t="s">
        <v>928</v>
      </c>
      <c r="H951" s="2" t="s">
        <v>39</v>
      </c>
      <c r="I951" s="2" t="s">
        <v>35</v>
      </c>
      <c r="J951" s="1">
        <v>0.0</v>
      </c>
      <c r="K951" s="1">
        <v>0.0</v>
      </c>
      <c r="L951" s="2" t="s">
        <v>41</v>
      </c>
      <c r="M951" s="2" t="s">
        <v>20</v>
      </c>
      <c r="N951" s="2">
        <v>7.0</v>
      </c>
      <c r="P951" s="8">
        <f t="shared" si="1"/>
        <v>22667</v>
      </c>
    </row>
    <row r="952" ht="15.0" customHeight="1">
      <c r="A952" s="2">
        <v>1962.0</v>
      </c>
      <c r="B952" s="2">
        <v>1961.0</v>
      </c>
      <c r="C952" s="2">
        <v>11.0</v>
      </c>
      <c r="D952" s="2">
        <v>24.0</v>
      </c>
      <c r="E952" s="2" t="s">
        <v>615</v>
      </c>
      <c r="H952" s="2" t="s">
        <v>196</v>
      </c>
      <c r="I952" s="2" t="s">
        <v>35</v>
      </c>
      <c r="J952" s="1">
        <v>0.0</v>
      </c>
      <c r="K952" s="1">
        <v>0.0</v>
      </c>
      <c r="L952" s="2" t="s">
        <v>197</v>
      </c>
      <c r="M952" s="2" t="s">
        <v>25</v>
      </c>
      <c r="N952" s="2">
        <v>1.0</v>
      </c>
      <c r="P952" s="8">
        <f t="shared" si="1"/>
        <v>22609</v>
      </c>
    </row>
    <row r="953" ht="15.0" customHeight="1">
      <c r="A953" s="2">
        <v>1961.0</v>
      </c>
      <c r="B953" s="2">
        <v>1961.0</v>
      </c>
      <c r="C953" s="2">
        <v>2.0</v>
      </c>
      <c r="D953" s="2">
        <v>23.0</v>
      </c>
      <c r="E953" s="2" t="s">
        <v>781</v>
      </c>
      <c r="H953" s="2" t="s">
        <v>196</v>
      </c>
      <c r="I953" s="2" t="s">
        <v>35</v>
      </c>
      <c r="J953" s="1">
        <v>0.0</v>
      </c>
      <c r="K953" s="1">
        <v>0.0</v>
      </c>
      <c r="L953" s="2" t="s">
        <v>51</v>
      </c>
      <c r="M953" s="2" t="s">
        <v>25</v>
      </c>
      <c r="N953" s="2">
        <v>1.0</v>
      </c>
      <c r="P953" s="8">
        <f t="shared" si="1"/>
        <v>22335</v>
      </c>
    </row>
    <row r="954" ht="15.0" customHeight="1">
      <c r="A954" s="2">
        <v>1960.0</v>
      </c>
      <c r="B954" s="2">
        <v>1960.0</v>
      </c>
      <c r="C954" s="2">
        <v>3.0</v>
      </c>
      <c r="D954" s="2">
        <v>19.0</v>
      </c>
      <c r="E954" s="2" t="s">
        <v>1052</v>
      </c>
      <c r="H954" s="2" t="s">
        <v>17</v>
      </c>
      <c r="I954" s="2" t="s">
        <v>35</v>
      </c>
      <c r="J954" s="1">
        <v>0.0</v>
      </c>
      <c r="K954" s="1">
        <v>0.0</v>
      </c>
      <c r="L954" s="2" t="s">
        <v>29</v>
      </c>
      <c r="N954" s="2">
        <v>1.0</v>
      </c>
      <c r="P954" s="8">
        <f t="shared" si="1"/>
        <v>21994</v>
      </c>
    </row>
    <row r="955" ht="15.0" customHeight="1">
      <c r="A955" s="2">
        <v>1960.0</v>
      </c>
      <c r="B955" s="2">
        <v>1960.0</v>
      </c>
      <c r="C955" s="2">
        <v>3.0</v>
      </c>
      <c r="D955" s="2">
        <v>9.0</v>
      </c>
      <c r="E955" s="2" t="s">
        <v>1053</v>
      </c>
      <c r="H955" s="2" t="s">
        <v>749</v>
      </c>
      <c r="I955" s="2" t="s">
        <v>49</v>
      </c>
      <c r="J955" s="1">
        <v>0.0</v>
      </c>
      <c r="K955" s="1">
        <v>0.0</v>
      </c>
      <c r="L955" s="2" t="s">
        <v>652</v>
      </c>
      <c r="N955" s="2">
        <v>2.0</v>
      </c>
      <c r="P955" s="8">
        <f t="shared" si="1"/>
        <v>21984</v>
      </c>
    </row>
    <row r="956" ht="15.0" customHeight="1">
      <c r="A956" s="2">
        <v>1960.0</v>
      </c>
      <c r="B956" s="2">
        <v>1960.0</v>
      </c>
      <c r="C956" s="2">
        <v>2.0</v>
      </c>
      <c r="D956" s="2">
        <v>13.0</v>
      </c>
      <c r="E956" s="2" t="s">
        <v>1054</v>
      </c>
      <c r="H956" s="2" t="s">
        <v>17</v>
      </c>
      <c r="I956" s="2" t="s">
        <v>35</v>
      </c>
      <c r="J956" s="1">
        <v>0.0</v>
      </c>
      <c r="K956" s="1">
        <v>0.0</v>
      </c>
      <c r="L956" s="2" t="s">
        <v>24</v>
      </c>
      <c r="M956" s="2" t="s">
        <v>25</v>
      </c>
      <c r="N956" s="2">
        <v>1.0</v>
      </c>
      <c r="P956" s="8">
        <f t="shared" si="1"/>
        <v>21959</v>
      </c>
    </row>
    <row r="957" ht="15.0" customHeight="1">
      <c r="A957" s="2">
        <v>1959.0</v>
      </c>
      <c r="B957" s="2">
        <v>1959.0</v>
      </c>
      <c r="C957" s="2">
        <v>6.0</v>
      </c>
      <c r="D957" s="2">
        <v>20.0</v>
      </c>
      <c r="E957" s="2" t="s">
        <v>777</v>
      </c>
      <c r="H957" s="2" t="s">
        <v>17</v>
      </c>
      <c r="I957" s="2" t="s">
        <v>59</v>
      </c>
      <c r="J957" s="1">
        <v>0.0</v>
      </c>
      <c r="K957" s="1">
        <v>0.0</v>
      </c>
      <c r="L957" s="2" t="s">
        <v>29</v>
      </c>
      <c r="N957" s="2">
        <v>1.0</v>
      </c>
      <c r="P957" s="8">
        <f t="shared" si="1"/>
        <v>21721</v>
      </c>
    </row>
    <row r="958" ht="15.0" customHeight="1">
      <c r="A958" s="2">
        <v>1959.0</v>
      </c>
      <c r="B958" s="2">
        <v>1959.0</v>
      </c>
      <c r="C958" s="2">
        <v>2.0</v>
      </c>
      <c r="D958" s="2">
        <v>3.0</v>
      </c>
      <c r="E958" s="2" t="s">
        <v>781</v>
      </c>
      <c r="H958" s="2" t="s">
        <v>196</v>
      </c>
      <c r="I958" s="2" t="s">
        <v>35</v>
      </c>
      <c r="J958" s="1">
        <v>0.0</v>
      </c>
      <c r="K958" s="1">
        <v>0.0</v>
      </c>
      <c r="L958" s="2" t="s">
        <v>197</v>
      </c>
      <c r="M958" s="2" t="s">
        <v>25</v>
      </c>
      <c r="N958" s="2">
        <v>1.0</v>
      </c>
      <c r="P958" s="8">
        <f t="shared" si="1"/>
        <v>21584</v>
      </c>
    </row>
    <row r="959" ht="15.0" customHeight="1">
      <c r="A959" s="2">
        <v>1958.0</v>
      </c>
      <c r="B959" s="2">
        <v>1958.0</v>
      </c>
      <c r="C959" s="2">
        <v>3.0</v>
      </c>
      <c r="D959" s="2">
        <v>9.0</v>
      </c>
      <c r="E959" s="2" t="s">
        <v>1044</v>
      </c>
      <c r="H959" s="2" t="s">
        <v>196</v>
      </c>
      <c r="I959" s="2" t="s">
        <v>40</v>
      </c>
      <c r="J959" s="1">
        <v>0.0</v>
      </c>
      <c r="K959" s="1">
        <v>0.0</v>
      </c>
      <c r="L959" s="2" t="s">
        <v>24</v>
      </c>
      <c r="M959" s="2" t="s">
        <v>25</v>
      </c>
      <c r="N959" s="2">
        <v>1.0</v>
      </c>
      <c r="P959" s="8">
        <f t="shared" si="1"/>
        <v>21253</v>
      </c>
    </row>
    <row r="960" ht="15.0" customHeight="1">
      <c r="A960" s="2">
        <v>1958.0</v>
      </c>
      <c r="B960" s="2">
        <v>1958.0</v>
      </c>
      <c r="C960" s="2">
        <v>3.0</v>
      </c>
      <c r="D960" s="2">
        <v>9.0</v>
      </c>
      <c r="E960" s="2" t="s">
        <v>1044</v>
      </c>
      <c r="H960" s="2" t="s">
        <v>196</v>
      </c>
      <c r="I960" s="2" t="s">
        <v>40</v>
      </c>
      <c r="J960" s="1">
        <v>0.0</v>
      </c>
      <c r="K960" s="1">
        <v>0.0</v>
      </c>
      <c r="L960" s="2" t="s">
        <v>971</v>
      </c>
      <c r="N960" s="2">
        <v>1.0</v>
      </c>
      <c r="P960" s="8">
        <f t="shared" si="1"/>
        <v>21253</v>
      </c>
    </row>
    <row r="961" ht="15.0" customHeight="1">
      <c r="A961" s="2">
        <v>1958.0</v>
      </c>
      <c r="B961" s="2">
        <v>1958.0</v>
      </c>
      <c r="C961" s="2">
        <v>2.0</v>
      </c>
      <c r="D961" s="2">
        <v>14.0</v>
      </c>
      <c r="E961" s="2" t="s">
        <v>1055</v>
      </c>
      <c r="H961" s="2" t="s">
        <v>749</v>
      </c>
      <c r="I961" s="2" t="s">
        <v>35</v>
      </c>
      <c r="J961" s="1">
        <v>0.0</v>
      </c>
      <c r="K961" s="1">
        <v>0.0</v>
      </c>
      <c r="L961" s="2" t="s">
        <v>933</v>
      </c>
      <c r="N961" s="2">
        <v>1.0</v>
      </c>
      <c r="P961" s="8">
        <f t="shared" si="1"/>
        <v>21230</v>
      </c>
    </row>
    <row r="962" ht="15.0" customHeight="1">
      <c r="A962" s="2">
        <v>1958.0</v>
      </c>
      <c r="B962" s="2">
        <v>1958.0</v>
      </c>
      <c r="C962" s="2">
        <v>2.0</v>
      </c>
      <c r="D962" s="2">
        <v>14.0</v>
      </c>
      <c r="E962" s="2" t="s">
        <v>1055</v>
      </c>
      <c r="H962" s="2" t="s">
        <v>749</v>
      </c>
      <c r="I962" s="2" t="s">
        <v>35</v>
      </c>
      <c r="J962" s="1">
        <v>0.0</v>
      </c>
      <c r="K962" s="1">
        <v>0.0</v>
      </c>
      <c r="L962" s="2" t="s">
        <v>971</v>
      </c>
      <c r="N962" s="2">
        <v>3.0</v>
      </c>
      <c r="P962" s="8">
        <f t="shared" si="1"/>
        <v>21230</v>
      </c>
    </row>
    <row r="963" ht="15.0" customHeight="1">
      <c r="A963" s="2">
        <v>1957.0</v>
      </c>
      <c r="B963" s="2">
        <v>1957.0</v>
      </c>
      <c r="C963" s="2">
        <v>4.0</v>
      </c>
      <c r="D963" s="2">
        <v>8.0</v>
      </c>
      <c r="E963" s="2" t="s">
        <v>1056</v>
      </c>
      <c r="H963" s="2" t="s">
        <v>749</v>
      </c>
      <c r="I963" s="2" t="s">
        <v>35</v>
      </c>
      <c r="J963" s="1">
        <v>0.0</v>
      </c>
      <c r="K963" s="1">
        <v>0.0</v>
      </c>
      <c r="L963" s="2" t="s">
        <v>421</v>
      </c>
      <c r="M963" s="2" t="s">
        <v>20</v>
      </c>
      <c r="N963" s="2">
        <v>2.0</v>
      </c>
      <c r="P963" s="8">
        <f t="shared" si="1"/>
        <v>20918</v>
      </c>
    </row>
    <row r="964" ht="15.75" customHeight="1">
      <c r="A964" s="2">
        <v>1957.0</v>
      </c>
      <c r="B964" s="2">
        <v>1957.0</v>
      </c>
      <c r="C964" s="2">
        <v>4.0</v>
      </c>
      <c r="D964" s="2">
        <v>7.0</v>
      </c>
      <c r="E964" s="2" t="s">
        <v>1057</v>
      </c>
      <c r="H964" s="2" t="s">
        <v>17</v>
      </c>
      <c r="I964" s="2" t="s">
        <v>77</v>
      </c>
      <c r="J964" s="1">
        <v>0.0</v>
      </c>
      <c r="K964" s="1">
        <v>0.0</v>
      </c>
      <c r="L964" s="2" t="s">
        <v>19</v>
      </c>
      <c r="N964" s="2">
        <v>1.0</v>
      </c>
      <c r="P964" s="8">
        <f t="shared" si="1"/>
        <v>20917</v>
      </c>
    </row>
    <row r="965" ht="15.75" customHeight="1">
      <c r="A965" s="2">
        <v>1957.0</v>
      </c>
      <c r="B965" s="2">
        <v>1957.0</v>
      </c>
      <c r="C965" s="2">
        <v>2.0</v>
      </c>
      <c r="D965" s="2">
        <v>24.0</v>
      </c>
      <c r="E965" s="2" t="s">
        <v>1058</v>
      </c>
      <c r="H965" s="2" t="s">
        <v>17</v>
      </c>
      <c r="I965" s="2" t="s">
        <v>35</v>
      </c>
      <c r="J965" s="1">
        <v>0.0</v>
      </c>
      <c r="K965" s="1">
        <v>0.0</v>
      </c>
      <c r="L965" s="2" t="s">
        <v>29</v>
      </c>
      <c r="N965" s="2">
        <v>1.0</v>
      </c>
      <c r="P965" s="8">
        <f t="shared" si="1"/>
        <v>20875</v>
      </c>
    </row>
    <row r="966" ht="15.75" customHeight="1">
      <c r="A966" s="2">
        <v>1957.0</v>
      </c>
      <c r="B966" s="2">
        <v>1957.0</v>
      </c>
      <c r="C966" s="2">
        <v>2.0</v>
      </c>
      <c r="D966" s="2">
        <v>5.0</v>
      </c>
      <c r="E966" s="2" t="s">
        <v>1059</v>
      </c>
      <c r="H966" s="2" t="s">
        <v>39</v>
      </c>
      <c r="I966" s="2" t="s">
        <v>49</v>
      </c>
      <c r="J966" s="1">
        <v>0.0</v>
      </c>
      <c r="K966" s="1">
        <v>0.0</v>
      </c>
      <c r="L966" s="2" t="s">
        <v>41</v>
      </c>
      <c r="M966" s="2" t="s">
        <v>20</v>
      </c>
      <c r="N966" s="2">
        <v>1.0</v>
      </c>
      <c r="P966" s="8">
        <f t="shared" si="1"/>
        <v>20856</v>
      </c>
    </row>
    <row r="967" ht="15.75" customHeight="1">
      <c r="A967" s="2">
        <v>1956.0</v>
      </c>
      <c r="B967" s="2">
        <v>1956.0</v>
      </c>
      <c r="C967" s="2">
        <v>3.0</v>
      </c>
      <c r="D967" s="2">
        <v>5.0</v>
      </c>
      <c r="E967" s="2" t="s">
        <v>1060</v>
      </c>
      <c r="H967" s="2" t="s">
        <v>196</v>
      </c>
      <c r="I967" s="2" t="s">
        <v>74</v>
      </c>
      <c r="J967" s="1">
        <v>0.0</v>
      </c>
      <c r="K967" s="1">
        <v>0.0</v>
      </c>
      <c r="L967" s="2" t="s">
        <v>51</v>
      </c>
      <c r="M967" s="2" t="s">
        <v>25</v>
      </c>
      <c r="N967" s="2">
        <v>1.0</v>
      </c>
      <c r="P967" s="8">
        <f t="shared" si="1"/>
        <v>20519</v>
      </c>
    </row>
    <row r="968" ht="15.75" customHeight="1">
      <c r="A968" s="2">
        <v>1956.0</v>
      </c>
      <c r="B968" s="2">
        <v>1956.0</v>
      </c>
      <c r="C968" s="2">
        <v>3.0</v>
      </c>
      <c r="D968" s="2">
        <v>2.0</v>
      </c>
      <c r="E968" s="2" t="s">
        <v>1061</v>
      </c>
      <c r="H968" s="2" t="s">
        <v>39</v>
      </c>
      <c r="I968" s="2" t="s">
        <v>49</v>
      </c>
      <c r="J968" s="1">
        <v>0.0</v>
      </c>
      <c r="K968" s="1">
        <v>0.0</v>
      </c>
      <c r="L968" s="2" t="s">
        <v>41</v>
      </c>
      <c r="M968" s="2" t="s">
        <v>20</v>
      </c>
      <c r="N968" s="2">
        <v>1.0</v>
      </c>
      <c r="P968" s="8">
        <f t="shared" si="1"/>
        <v>20516</v>
      </c>
    </row>
    <row r="969" ht="15.75" customHeight="1">
      <c r="A969" s="2">
        <v>1956.0</v>
      </c>
      <c r="B969" s="2">
        <v>1956.0</v>
      </c>
      <c r="C969" s="2">
        <v>2.0</v>
      </c>
      <c r="D969" s="2">
        <v>19.0</v>
      </c>
      <c r="E969" s="2" t="s">
        <v>1062</v>
      </c>
      <c r="H969" s="2" t="s">
        <v>17</v>
      </c>
      <c r="I969" s="2" t="s">
        <v>166</v>
      </c>
      <c r="J969" s="1">
        <v>0.0</v>
      </c>
      <c r="K969" s="1">
        <v>0.0</v>
      </c>
      <c r="L969" s="2" t="s">
        <v>29</v>
      </c>
      <c r="N969" s="2">
        <v>1.0</v>
      </c>
      <c r="P969" s="8">
        <f t="shared" si="1"/>
        <v>20504</v>
      </c>
    </row>
    <row r="970" ht="15.75" customHeight="1">
      <c r="A970" s="2">
        <v>1955.0</v>
      </c>
      <c r="B970" s="2">
        <v>1955.0</v>
      </c>
      <c r="C970" s="2">
        <v>1.0</v>
      </c>
      <c r="D970" s="2">
        <v>15.0</v>
      </c>
      <c r="E970" s="2" t="s">
        <v>1046</v>
      </c>
      <c r="H970" s="2" t="s">
        <v>196</v>
      </c>
      <c r="I970" s="2" t="s">
        <v>18</v>
      </c>
      <c r="J970" s="1">
        <v>0.0</v>
      </c>
      <c r="K970" s="1">
        <v>0.0</v>
      </c>
      <c r="L970" s="2" t="s">
        <v>197</v>
      </c>
      <c r="M970" s="2" t="s">
        <v>25</v>
      </c>
      <c r="N970" s="2">
        <v>1.0</v>
      </c>
      <c r="P970" s="8">
        <f t="shared" si="1"/>
        <v>20104</v>
      </c>
    </row>
    <row r="971" ht="15.75" customHeight="1">
      <c r="A971" s="2">
        <v>1954.0</v>
      </c>
      <c r="B971" s="2">
        <v>1954.0</v>
      </c>
      <c r="C971" s="2">
        <v>4.0</v>
      </c>
      <c r="D971" s="2">
        <v>2.0</v>
      </c>
      <c r="E971" s="2" t="s">
        <v>1063</v>
      </c>
      <c r="H971" s="2" t="s">
        <v>749</v>
      </c>
      <c r="I971" s="2" t="s">
        <v>49</v>
      </c>
      <c r="J971" s="1">
        <v>0.0</v>
      </c>
      <c r="K971" s="1">
        <v>0.0</v>
      </c>
      <c r="L971" s="2" t="s">
        <v>421</v>
      </c>
      <c r="N971" s="2">
        <v>1.0</v>
      </c>
      <c r="P971" s="8">
        <f t="shared" si="1"/>
        <v>19816</v>
      </c>
    </row>
    <row r="972" ht="15.75" customHeight="1">
      <c r="A972" s="2">
        <v>1954.0</v>
      </c>
      <c r="B972" s="2">
        <v>1954.0</v>
      </c>
      <c r="C972" s="2">
        <v>2.0</v>
      </c>
      <c r="D972" s="2">
        <v>28.0</v>
      </c>
      <c r="E972" s="2" t="s">
        <v>758</v>
      </c>
      <c r="H972" s="2" t="s">
        <v>196</v>
      </c>
      <c r="I972" s="2" t="s">
        <v>28</v>
      </c>
      <c r="J972" s="1">
        <v>0.0</v>
      </c>
      <c r="K972" s="1">
        <v>0.0</v>
      </c>
      <c r="L972" s="2" t="s">
        <v>24</v>
      </c>
      <c r="M972" s="2" t="s">
        <v>25</v>
      </c>
      <c r="N972" s="2">
        <v>2.0</v>
      </c>
      <c r="P972" s="8">
        <f t="shared" si="1"/>
        <v>19783</v>
      </c>
    </row>
    <row r="973" ht="15.75" customHeight="1">
      <c r="A973" s="2">
        <v>1954.0</v>
      </c>
      <c r="B973" s="2">
        <v>1954.0</v>
      </c>
      <c r="C973" s="2">
        <v>2.0</v>
      </c>
      <c r="D973" s="2">
        <v>12.0</v>
      </c>
      <c r="E973" s="2" t="s">
        <v>744</v>
      </c>
      <c r="H973" s="2" t="s">
        <v>17</v>
      </c>
      <c r="I973" s="2" t="s">
        <v>166</v>
      </c>
      <c r="J973" s="1">
        <v>0.0</v>
      </c>
      <c r="K973" s="1">
        <v>0.0</v>
      </c>
      <c r="L973" s="2" t="s">
        <v>29</v>
      </c>
      <c r="N973" s="2">
        <v>2.0</v>
      </c>
      <c r="P973" s="8">
        <f t="shared" si="1"/>
        <v>19767</v>
      </c>
    </row>
    <row r="974" ht="15.75" customHeight="1">
      <c r="A974" s="2">
        <v>1953.0</v>
      </c>
      <c r="B974" s="2">
        <v>1953.0</v>
      </c>
      <c r="C974" s="2">
        <v>5.0</v>
      </c>
      <c r="D974" s="2">
        <v>26.0</v>
      </c>
      <c r="E974" s="2" t="s">
        <v>836</v>
      </c>
      <c r="H974" s="9" t="s">
        <v>17</v>
      </c>
      <c r="I974" s="2" t="s">
        <v>85</v>
      </c>
      <c r="J974" s="1">
        <v>0.0</v>
      </c>
      <c r="K974" s="1">
        <v>0.0</v>
      </c>
      <c r="L974" s="2" t="s">
        <v>421</v>
      </c>
      <c r="N974" s="2">
        <v>2.0</v>
      </c>
      <c r="P974" s="8">
        <f t="shared" si="1"/>
        <v>19505</v>
      </c>
    </row>
    <row r="975" ht="15.75" customHeight="1">
      <c r="A975" s="2">
        <v>1953.0</v>
      </c>
      <c r="B975" s="2">
        <v>1953.0</v>
      </c>
      <c r="C975" s="2">
        <v>2.0</v>
      </c>
      <c r="D975" s="2">
        <v>7.0</v>
      </c>
      <c r="E975" s="2" t="s">
        <v>948</v>
      </c>
      <c r="H975" s="2" t="s">
        <v>17</v>
      </c>
      <c r="I975" s="2" t="s">
        <v>77</v>
      </c>
      <c r="J975" s="1">
        <v>0.0</v>
      </c>
      <c r="K975" s="1">
        <v>0.0</v>
      </c>
      <c r="L975" s="2" t="s">
        <v>24</v>
      </c>
      <c r="M975" s="2" t="s">
        <v>25</v>
      </c>
      <c r="N975" s="2">
        <v>1.0</v>
      </c>
      <c r="P975" s="8">
        <f t="shared" si="1"/>
        <v>19397</v>
      </c>
    </row>
    <row r="976" ht="15.75" customHeight="1">
      <c r="A976" s="2">
        <v>1952.0</v>
      </c>
      <c r="B976" s="2">
        <v>1952.0</v>
      </c>
      <c r="C976" s="2">
        <v>5.0</v>
      </c>
      <c r="D976" s="2">
        <v>9.0</v>
      </c>
      <c r="E976" s="2" t="s">
        <v>1064</v>
      </c>
      <c r="H976" s="2" t="s">
        <v>749</v>
      </c>
      <c r="I976" s="2" t="s">
        <v>28</v>
      </c>
      <c r="J976" s="1">
        <v>0.0</v>
      </c>
      <c r="K976" s="1">
        <v>0.0</v>
      </c>
      <c r="L976" s="2" t="s">
        <v>870</v>
      </c>
      <c r="N976" s="2">
        <v>1.0</v>
      </c>
      <c r="P976" s="8">
        <f t="shared" si="1"/>
        <v>19123</v>
      </c>
    </row>
    <row r="977" ht="15.75" customHeight="1">
      <c r="A977" s="2">
        <v>1952.0</v>
      </c>
      <c r="B977" s="2">
        <v>1952.0</v>
      </c>
      <c r="C977" s="2">
        <v>2.0</v>
      </c>
      <c r="D977" s="2">
        <v>29.0</v>
      </c>
      <c r="E977" s="2" t="s">
        <v>1065</v>
      </c>
      <c r="H977" s="2" t="s">
        <v>749</v>
      </c>
      <c r="I977" s="2" t="s">
        <v>49</v>
      </c>
      <c r="J977" s="1">
        <v>0.0</v>
      </c>
      <c r="K977" s="1">
        <v>0.0</v>
      </c>
      <c r="L977" s="2" t="s">
        <v>421</v>
      </c>
      <c r="N977" s="2">
        <v>1.0</v>
      </c>
      <c r="P977" s="8">
        <f t="shared" si="1"/>
        <v>19053</v>
      </c>
    </row>
    <row r="978" ht="15.75" customHeight="1">
      <c r="A978" s="2">
        <v>1952.0</v>
      </c>
      <c r="B978" s="2">
        <v>1952.0</v>
      </c>
      <c r="C978" s="2">
        <v>1.0</v>
      </c>
      <c r="D978" s="2">
        <v>19.0</v>
      </c>
      <c r="E978" s="2" t="s">
        <v>823</v>
      </c>
      <c r="H978" s="2" t="s">
        <v>196</v>
      </c>
      <c r="I978" s="2" t="s">
        <v>49</v>
      </c>
      <c r="J978" s="1">
        <v>0.0</v>
      </c>
      <c r="K978" s="1">
        <v>0.0</v>
      </c>
      <c r="L978" s="2" t="s">
        <v>197</v>
      </c>
      <c r="M978" s="2" t="s">
        <v>25</v>
      </c>
      <c r="N978" s="2">
        <v>4.0</v>
      </c>
      <c r="P978" s="8">
        <f t="shared" si="1"/>
        <v>19012</v>
      </c>
    </row>
    <row r="979" ht="15.75" customHeight="1">
      <c r="A979" s="2">
        <v>1952.0</v>
      </c>
      <c r="B979" s="2">
        <v>1952.0</v>
      </c>
      <c r="C979" s="2">
        <v>1.0</v>
      </c>
      <c r="D979" s="2">
        <v>14.0</v>
      </c>
      <c r="E979" s="2" t="s">
        <v>1066</v>
      </c>
      <c r="H979" s="2" t="s">
        <v>845</v>
      </c>
      <c r="I979" s="2" t="s">
        <v>18</v>
      </c>
      <c r="J979" s="1">
        <v>0.0</v>
      </c>
      <c r="K979" s="1">
        <v>0.0</v>
      </c>
      <c r="L979" s="2" t="s">
        <v>41</v>
      </c>
      <c r="M979" s="2" t="s">
        <v>20</v>
      </c>
      <c r="N979" s="2">
        <v>2.0</v>
      </c>
      <c r="P979" s="8">
        <f t="shared" si="1"/>
        <v>19007</v>
      </c>
    </row>
    <row r="980" ht="15.75" customHeight="1">
      <c r="A980" s="2">
        <v>1952.0</v>
      </c>
      <c r="B980" s="2">
        <v>1952.0</v>
      </c>
      <c r="C980" s="2">
        <v>1.0</v>
      </c>
      <c r="D980" s="2">
        <v>7.0</v>
      </c>
      <c r="E980" s="2" t="s">
        <v>1067</v>
      </c>
      <c r="H980" s="2" t="s">
        <v>749</v>
      </c>
      <c r="I980" s="2" t="s">
        <v>35</v>
      </c>
      <c r="J980" s="1">
        <v>0.0</v>
      </c>
      <c r="K980" s="1">
        <v>0.0</v>
      </c>
      <c r="L980" s="2" t="s">
        <v>933</v>
      </c>
      <c r="N980" s="2">
        <v>1.0</v>
      </c>
      <c r="P980" s="8">
        <f t="shared" si="1"/>
        <v>19000</v>
      </c>
    </row>
    <row r="981" ht="15.75" customHeight="1">
      <c r="A981" s="2">
        <v>1952.0</v>
      </c>
      <c r="B981" s="2">
        <v>1951.0</v>
      </c>
      <c r="C981" s="2">
        <v>12.0</v>
      </c>
      <c r="D981" s="2">
        <v>30.0</v>
      </c>
      <c r="E981" s="2" t="s">
        <v>964</v>
      </c>
      <c r="H981" s="2" t="s">
        <v>749</v>
      </c>
      <c r="I981" s="2" t="s">
        <v>35</v>
      </c>
      <c r="J981" s="1">
        <v>0.0</v>
      </c>
      <c r="K981" s="1">
        <v>0.0</v>
      </c>
      <c r="L981" s="2" t="s">
        <v>870</v>
      </c>
      <c r="N981" s="2">
        <v>2.0</v>
      </c>
      <c r="P981" s="8">
        <f t="shared" si="1"/>
        <v>18992</v>
      </c>
    </row>
    <row r="982" ht="15.75" customHeight="1">
      <c r="A982" s="2">
        <v>1951.0</v>
      </c>
      <c r="B982" s="2">
        <v>1951.0</v>
      </c>
      <c r="C982" s="2">
        <v>4.0</v>
      </c>
      <c r="D982" s="2">
        <v>25.0</v>
      </c>
      <c r="E982" s="2" t="s">
        <v>1015</v>
      </c>
      <c r="H982" s="2" t="s">
        <v>749</v>
      </c>
      <c r="I982" s="2" t="s">
        <v>35</v>
      </c>
      <c r="J982" s="1">
        <v>0.0</v>
      </c>
      <c r="K982" s="1">
        <v>0.0</v>
      </c>
      <c r="L982" s="2" t="s">
        <v>870</v>
      </c>
      <c r="N982" s="2">
        <v>2.0</v>
      </c>
      <c r="P982" s="8">
        <f t="shared" si="1"/>
        <v>18743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24.57"/>
    <col customWidth="1" min="3" max="26" width="17.43"/>
  </cols>
  <sheetData>
    <row r="1" ht="15.0" customHeight="1">
      <c r="A1" s="10" t="s">
        <v>1068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0" customHeight="1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 t="s">
        <v>1069</v>
      </c>
    </row>
    <row r="4">
      <c r="A4" s="12" t="s">
        <v>1070</v>
      </c>
    </row>
    <row r="5">
      <c r="A5" s="12" t="s">
        <v>1071</v>
      </c>
    </row>
    <row r="6" ht="15.0" customHeight="1">
      <c r="A6" s="10" t="s">
        <v>1072</v>
      </c>
    </row>
    <row r="8">
      <c r="A8" s="12" t="s">
        <v>1073</v>
      </c>
    </row>
    <row r="9">
      <c r="A9" s="13">
        <v>2022.0</v>
      </c>
      <c r="B9" s="13" t="s">
        <v>1074</v>
      </c>
      <c r="C9" s="13" t="s">
        <v>1075</v>
      </c>
    </row>
    <row r="10">
      <c r="A10" s="12">
        <v>2018.0</v>
      </c>
      <c r="B10" s="12" t="s">
        <v>1076</v>
      </c>
      <c r="C10" s="12" t="s">
        <v>1077</v>
      </c>
    </row>
    <row r="11">
      <c r="A11" s="12">
        <v>2018.0</v>
      </c>
      <c r="B11" s="12" t="s">
        <v>1078</v>
      </c>
    </row>
    <row r="12" ht="15.0" customHeight="1">
      <c r="A12" s="2">
        <v>2018.0</v>
      </c>
      <c r="B12" s="11" t="s">
        <v>1079</v>
      </c>
      <c r="C12" s="2" t="s">
        <v>1080</v>
      </c>
    </row>
    <row r="13" ht="15.0" customHeight="1">
      <c r="A13" s="12">
        <v>2016.0</v>
      </c>
      <c r="B13" s="11" t="s">
        <v>1081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5.0"/>
    <col customWidth="1" min="3" max="26" width="8.71"/>
  </cols>
  <sheetData>
    <row r="3">
      <c r="C3" s="11" t="s">
        <v>1083</v>
      </c>
    </row>
    <row r="4"/>
    <row r="5"/>
    <row r="6"/>
    <row r="7"/>
    <row r="8">
      <c r="C8" s="11">
        <f t="shared" ref="C8:C76" si="1">AVERAGE(B4:B8)</f>
        <v>4.4</v>
      </c>
    </row>
    <row r="9">
      <c r="C9" s="11">
        <f t="shared" si="1"/>
        <v>4.6</v>
      </c>
    </row>
    <row r="10">
      <c r="C10" s="11">
        <f t="shared" si="1"/>
        <v>3.4</v>
      </c>
    </row>
    <row r="11">
      <c r="C11" s="11">
        <f t="shared" si="1"/>
        <v>4</v>
      </c>
    </row>
    <row r="12">
      <c r="C12" s="11">
        <f t="shared" si="1"/>
        <v>3.4</v>
      </c>
    </row>
    <row r="13">
      <c r="C13" s="11">
        <f t="shared" si="1"/>
        <v>4</v>
      </c>
    </row>
    <row r="14">
      <c r="C14" s="11">
        <f t="shared" si="1"/>
        <v>3.6</v>
      </c>
    </row>
    <row r="15">
      <c r="C15" s="11">
        <f t="shared" si="1"/>
        <v>5</v>
      </c>
    </row>
    <row r="16">
      <c r="C16" s="11">
        <f t="shared" si="1"/>
        <v>5</v>
      </c>
    </row>
    <row r="17">
      <c r="C17" s="11">
        <f t="shared" si="1"/>
        <v>6</v>
      </c>
    </row>
    <row r="18">
      <c r="C18" s="11">
        <f t="shared" si="1"/>
        <v>6</v>
      </c>
    </row>
    <row r="19">
      <c r="C19" s="11">
        <f t="shared" si="1"/>
        <v>6.4</v>
      </c>
    </row>
    <row r="20">
      <c r="C20" s="11">
        <f t="shared" si="1"/>
        <v>5.2</v>
      </c>
    </row>
    <row r="21" ht="15.75" customHeight="1">
      <c r="C21" s="11">
        <f t="shared" si="1"/>
        <v>4.8</v>
      </c>
    </row>
    <row r="22" ht="15.75" customHeight="1">
      <c r="C22" s="11">
        <f t="shared" si="1"/>
        <v>4.6</v>
      </c>
    </row>
    <row r="23" ht="15.75" customHeight="1">
      <c r="C23" s="11">
        <f t="shared" si="1"/>
        <v>5.2</v>
      </c>
    </row>
    <row r="24" ht="15.75" customHeight="1">
      <c r="C24" s="11">
        <f t="shared" si="1"/>
        <v>7</v>
      </c>
    </row>
    <row r="25" ht="15.75" customHeight="1">
      <c r="C25" s="11">
        <f t="shared" si="1"/>
        <v>7.2</v>
      </c>
    </row>
    <row r="26" ht="15.75" customHeight="1">
      <c r="C26" s="11">
        <f t="shared" si="1"/>
        <v>7.2</v>
      </c>
    </row>
    <row r="27" ht="15.75" customHeight="1">
      <c r="C27" s="11">
        <f t="shared" si="1"/>
        <v>8.6</v>
      </c>
    </row>
    <row r="28" ht="15.75" customHeight="1">
      <c r="C28" s="11">
        <f t="shared" si="1"/>
        <v>11.6</v>
      </c>
    </row>
    <row r="29" ht="15.75" customHeight="1">
      <c r="C29" s="11">
        <f t="shared" si="1"/>
        <v>13.4</v>
      </c>
    </row>
    <row r="30" ht="15.75" customHeight="1">
      <c r="C30" s="11">
        <f t="shared" si="1"/>
        <v>13.2</v>
      </c>
    </row>
    <row r="31" ht="15.75" customHeight="1">
      <c r="C31" s="11">
        <f t="shared" si="1"/>
        <v>16</v>
      </c>
    </row>
    <row r="32" ht="15.75" customHeight="1">
      <c r="C32" s="11">
        <f t="shared" si="1"/>
        <v>15.4</v>
      </c>
    </row>
    <row r="33" ht="15.75" customHeight="1">
      <c r="C33" s="11">
        <f t="shared" si="1"/>
        <v>12.2</v>
      </c>
    </row>
    <row r="34" ht="15.75" customHeight="1">
      <c r="C34" s="11">
        <f t="shared" si="1"/>
        <v>12.6</v>
      </c>
    </row>
    <row r="35" ht="15.75" customHeight="1">
      <c r="C35" s="11">
        <f t="shared" si="1"/>
        <v>15</v>
      </c>
    </row>
    <row r="36" ht="15.75" customHeight="1">
      <c r="C36" s="11">
        <f t="shared" si="1"/>
        <v>14.2</v>
      </c>
    </row>
    <row r="37" ht="15.75" customHeight="1">
      <c r="C37" s="11">
        <f t="shared" si="1"/>
        <v>15.2</v>
      </c>
    </row>
    <row r="38" ht="15.75" customHeight="1">
      <c r="C38" s="11">
        <f t="shared" si="1"/>
        <v>16.8</v>
      </c>
    </row>
    <row r="39" ht="15.75" customHeight="1">
      <c r="C39" s="11">
        <f t="shared" si="1"/>
        <v>15.6</v>
      </c>
    </row>
    <row r="40" ht="15.75" customHeight="1">
      <c r="C40" s="11">
        <f t="shared" si="1"/>
        <v>16.2</v>
      </c>
    </row>
    <row r="41" ht="15.75" customHeight="1">
      <c r="C41" s="11">
        <f t="shared" si="1"/>
        <v>15</v>
      </c>
    </row>
    <row r="42" ht="15.75" customHeight="1">
      <c r="C42" s="11">
        <f t="shared" si="1"/>
        <v>13.4</v>
      </c>
    </row>
    <row r="43" ht="15.75" customHeight="1">
      <c r="C43" s="11">
        <f t="shared" si="1"/>
        <v>12.2</v>
      </c>
    </row>
    <row r="44" ht="15.75" customHeight="1">
      <c r="C44" s="11">
        <f t="shared" si="1"/>
        <v>10.6</v>
      </c>
    </row>
    <row r="45" ht="15.75" customHeight="1">
      <c r="C45" s="11">
        <f t="shared" si="1"/>
        <v>11.2</v>
      </c>
    </row>
    <row r="46" ht="15.75" customHeight="1">
      <c r="C46" s="11">
        <f t="shared" si="1"/>
        <v>15.4</v>
      </c>
    </row>
    <row r="47" ht="15.75" customHeight="1">
      <c r="C47" s="11">
        <f t="shared" si="1"/>
        <v>16.6</v>
      </c>
    </row>
    <row r="48" ht="15.75" customHeight="1">
      <c r="C48" s="11">
        <f t="shared" si="1"/>
        <v>20.6</v>
      </c>
    </row>
    <row r="49" ht="15.75" customHeight="1">
      <c r="C49" s="11">
        <f t="shared" si="1"/>
        <v>24.8</v>
      </c>
    </row>
    <row r="50" ht="15.75" customHeight="1">
      <c r="C50" s="11">
        <f t="shared" si="1"/>
        <v>24.4</v>
      </c>
    </row>
    <row r="51" ht="15.75" customHeight="1">
      <c r="C51" s="11">
        <f t="shared" si="1"/>
        <v>23.8</v>
      </c>
    </row>
    <row r="52" ht="15.75" customHeight="1">
      <c r="C52" s="11">
        <f t="shared" si="1"/>
        <v>27.4</v>
      </c>
    </row>
    <row r="53" ht="15.75" customHeight="1">
      <c r="C53" s="11">
        <f t="shared" si="1"/>
        <v>26.2</v>
      </c>
    </row>
    <row r="54" ht="15.75" customHeight="1">
      <c r="C54" s="11">
        <f t="shared" si="1"/>
        <v>26.8</v>
      </c>
    </row>
    <row r="55" ht="15.75" customHeight="1">
      <c r="C55" s="11">
        <f t="shared" si="1"/>
        <v>29.4</v>
      </c>
    </row>
    <row r="56" ht="15.75" customHeight="1">
      <c r="C56" s="11">
        <f t="shared" si="1"/>
        <v>30.2</v>
      </c>
      <c r="E56" s="9" t="s">
        <v>1084</v>
      </c>
      <c r="F56" s="15" t="s">
        <v>1082</v>
      </c>
      <c r="G56" s="11" t="s">
        <v>1083</v>
      </c>
    </row>
    <row r="57" ht="15.75" customHeight="1">
      <c r="C57" s="11">
        <f t="shared" si="1"/>
        <v>28.6</v>
      </c>
      <c r="E57" s="3">
        <v>2004.0</v>
      </c>
      <c r="F57" s="3">
        <v>23.0</v>
      </c>
      <c r="G57" s="3">
        <v>28.6</v>
      </c>
    </row>
    <row r="58" ht="15.75" customHeight="1">
      <c r="C58" s="11">
        <f t="shared" si="1"/>
        <v>29.8</v>
      </c>
      <c r="E58" s="3">
        <v>2005.0</v>
      </c>
      <c r="F58" s="3">
        <v>28.0</v>
      </c>
      <c r="G58" s="3">
        <v>29.8</v>
      </c>
    </row>
    <row r="59" ht="15.75" customHeight="1">
      <c r="C59" s="11">
        <f t="shared" si="1"/>
        <v>28</v>
      </c>
      <c r="E59" s="3">
        <v>2006.0</v>
      </c>
      <c r="F59" s="3">
        <v>24.0</v>
      </c>
      <c r="G59" s="3">
        <v>28.0</v>
      </c>
    </row>
    <row r="60" ht="15.75" customHeight="1">
      <c r="C60" s="11">
        <f t="shared" si="1"/>
        <v>25</v>
      </c>
      <c r="E60" s="3">
        <v>2007.0</v>
      </c>
      <c r="F60" s="3">
        <v>20.0</v>
      </c>
      <c r="G60" s="3">
        <v>25.0</v>
      </c>
    </row>
    <row r="61" ht="15.75" customHeight="1">
      <c r="C61" s="11">
        <f t="shared" si="1"/>
        <v>26.2</v>
      </c>
      <c r="E61" s="3">
        <v>2008.0</v>
      </c>
      <c r="F61" s="3">
        <v>36.0</v>
      </c>
      <c r="G61" s="3">
        <v>26.2</v>
      </c>
    </row>
    <row r="62" ht="15.75" customHeight="1">
      <c r="C62" s="11">
        <f t="shared" si="1"/>
        <v>27.2</v>
      </c>
      <c r="E62" s="3">
        <v>2009.0</v>
      </c>
      <c r="F62" s="3">
        <v>28.0</v>
      </c>
      <c r="G62" s="3">
        <v>27.2</v>
      </c>
    </row>
    <row r="63" ht="15.75" customHeight="1">
      <c r="C63" s="11">
        <f t="shared" si="1"/>
        <v>28.8</v>
      </c>
      <c r="E63" s="3">
        <v>2010.0</v>
      </c>
      <c r="F63" s="3">
        <v>36.0</v>
      </c>
      <c r="G63" s="3">
        <v>28.8</v>
      </c>
    </row>
    <row r="64" ht="15.75" customHeight="1">
      <c r="C64" s="11">
        <f t="shared" si="1"/>
        <v>29</v>
      </c>
      <c r="E64" s="3">
        <v>2011.0</v>
      </c>
      <c r="F64" s="3">
        <v>25.0</v>
      </c>
      <c r="G64" s="3">
        <v>29.0</v>
      </c>
    </row>
    <row r="65" ht="15.75" customHeight="1">
      <c r="C65" s="11">
        <f t="shared" si="1"/>
        <v>31.8</v>
      </c>
      <c r="E65" s="3">
        <v>2012.0</v>
      </c>
      <c r="F65" s="3">
        <v>34.0</v>
      </c>
      <c r="G65" s="3">
        <v>31.8</v>
      </c>
    </row>
    <row r="66" ht="15.75" customHeight="1">
      <c r="C66" s="11">
        <f t="shared" si="1"/>
        <v>29.4</v>
      </c>
      <c r="E66" s="3">
        <v>2013.0</v>
      </c>
      <c r="F66" s="3">
        <v>24.0</v>
      </c>
      <c r="G66" s="3">
        <v>29.4</v>
      </c>
    </row>
    <row r="67" ht="15.75" customHeight="1">
      <c r="C67" s="11">
        <f t="shared" si="1"/>
        <v>30.8</v>
      </c>
      <c r="E67" s="3">
        <v>2014.0</v>
      </c>
      <c r="F67" s="3">
        <v>35.0</v>
      </c>
      <c r="G67" s="3">
        <v>30.8</v>
      </c>
    </row>
    <row r="68" ht="15.75" customHeight="1">
      <c r="C68" s="11">
        <f t="shared" si="1"/>
        <v>25.8</v>
      </c>
      <c r="E68" s="3">
        <v>2015.0</v>
      </c>
      <c r="F68" s="3">
        <v>11.0</v>
      </c>
      <c r="G68" s="3">
        <v>25.8</v>
      </c>
    </row>
    <row r="69" ht="15.75" customHeight="1">
      <c r="C69" s="11">
        <f t="shared" si="1"/>
        <v>26.8</v>
      </c>
      <c r="E69" s="3">
        <v>2016.0</v>
      </c>
      <c r="F69" s="3">
        <v>30.0</v>
      </c>
      <c r="G69" s="3">
        <v>26.8</v>
      </c>
    </row>
    <row r="70" ht="15.75" customHeight="1">
      <c r="C70" s="11">
        <f t="shared" si="1"/>
        <v>22.4</v>
      </c>
      <c r="E70" s="3">
        <v>2017.0</v>
      </c>
      <c r="F70" s="3">
        <v>12.0</v>
      </c>
      <c r="G70" s="3">
        <v>22.4</v>
      </c>
    </row>
    <row r="71" ht="15.75" customHeight="1">
      <c r="C71" s="11">
        <f t="shared" si="1"/>
        <v>22.4</v>
      </c>
      <c r="E71" s="3">
        <v>2018.0</v>
      </c>
      <c r="F71" s="3">
        <v>24.0</v>
      </c>
      <c r="G71" s="3">
        <v>22.4</v>
      </c>
    </row>
    <row r="72" ht="15.75" customHeight="1">
      <c r="C72" s="11">
        <f t="shared" si="1"/>
        <v>20.4</v>
      </c>
      <c r="E72" s="3">
        <v>2019.0</v>
      </c>
      <c r="F72" s="3">
        <v>25.0</v>
      </c>
      <c r="G72" s="3">
        <v>20.4</v>
      </c>
    </row>
    <row r="73" ht="15.75" customHeight="1">
      <c r="C73" s="11">
        <f t="shared" si="1"/>
        <v>22.8</v>
      </c>
      <c r="E73" s="3">
        <v>2020.0</v>
      </c>
      <c r="F73" s="3">
        <v>23.0</v>
      </c>
      <c r="G73" s="3">
        <v>22.8</v>
      </c>
    </row>
    <row r="74" ht="15.75" customHeight="1">
      <c r="C74" s="11">
        <f t="shared" si="1"/>
        <v>24.2</v>
      </c>
      <c r="E74" s="2">
        <v>2021.0</v>
      </c>
      <c r="F74" s="2">
        <v>37.0</v>
      </c>
      <c r="G74" s="3">
        <v>24.2</v>
      </c>
    </row>
    <row r="75" ht="15.75" customHeight="1">
      <c r="C75" s="11">
        <f t="shared" si="1"/>
        <v>25.2</v>
      </c>
      <c r="E75" s="2">
        <v>2022.0</v>
      </c>
      <c r="F75" s="2">
        <v>17.0</v>
      </c>
      <c r="G75" s="3">
        <v>25.2</v>
      </c>
    </row>
    <row r="76" ht="15.75" customHeight="1">
      <c r="C76" s="11">
        <f t="shared" si="1"/>
        <v>26.4</v>
      </c>
      <c r="E76" s="2">
        <v>2023.0</v>
      </c>
      <c r="F76" s="2">
        <v>30.0</v>
      </c>
      <c r="G76" s="3">
        <v>26.4</v>
      </c>
    </row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5.0"/>
    <col customWidth="1" min="3" max="26" width="8.71"/>
  </cols>
  <sheetData>
    <row r="1">
      <c r="A1" s="21"/>
    </row>
    <row r="2">
      <c r="A2" s="20"/>
    </row>
    <row r="3">
      <c r="A3" s="22" t="s">
        <v>1084</v>
      </c>
      <c r="B3" s="10" t="s">
        <v>1082</v>
      </c>
      <c r="C3" s="11" t="s">
        <v>1083</v>
      </c>
    </row>
    <row r="4">
      <c r="A4" s="22">
        <v>1951.0</v>
      </c>
      <c r="B4" s="11">
        <f>IFERROR(__xludf.DUMMYFUNCTION("IFNA(ARRAYFORMULA(SUM(FILTER(Data!N:N, Data!I:I=""CO"", Data!A:A=A4))), 0)"),2.0)</f>
        <v>2</v>
      </c>
    </row>
    <row r="5">
      <c r="A5" s="22">
        <v>1952.0</v>
      </c>
      <c r="B5" s="11">
        <f>IFERROR(__xludf.DUMMYFUNCTION("IFNA(ARRAYFORMULA(SUM(FILTER(Data!N:N, Data!I:I=""CO"", Data!A:A=A5))), 0)"),3.0)</f>
        <v>3</v>
      </c>
    </row>
    <row r="6">
      <c r="A6" s="22">
        <v>1953.0</v>
      </c>
      <c r="B6" s="11">
        <f>IFERROR(__xludf.DUMMYFUNCTION("IFNA(ARRAYFORMULA(SUM(FILTER(Data!N:N, Data!I:I=""CO"", Data!A:A=A6))), 0)"),0.0)</f>
        <v>0</v>
      </c>
    </row>
    <row r="7">
      <c r="A7" s="22">
        <v>1954.0</v>
      </c>
      <c r="B7" s="11">
        <f>IFERROR(__xludf.DUMMYFUNCTION("IFNA(ARRAYFORMULA(SUM(FILTER(Data!N:N, Data!I:I=""CO"", Data!A:A=A7))), 0)"),0.0)</f>
        <v>0</v>
      </c>
    </row>
    <row r="8">
      <c r="A8" s="22">
        <v>1955.0</v>
      </c>
      <c r="B8" s="11">
        <f>IFERROR(__xludf.DUMMYFUNCTION("IFNA(ARRAYFORMULA(SUM(FILTER(Data!N:N, Data!I:I=""CO"", Data!A:A=A8))), 0)"),0.0)</f>
        <v>0</v>
      </c>
      <c r="C8" s="11">
        <f t="shared" ref="C8:C76" si="1">AVERAGE(B4:B8)</f>
        <v>1</v>
      </c>
    </row>
    <row r="9">
      <c r="A9" s="22">
        <v>1956.0</v>
      </c>
      <c r="B9" s="11">
        <f>IFERROR(__xludf.DUMMYFUNCTION("IFNA(ARRAYFORMULA(SUM(FILTER(Data!N:N, Data!I:I=""CO"", Data!A:A=A9))), 0)"),0.0)</f>
        <v>0</v>
      </c>
      <c r="C9" s="11">
        <f t="shared" si="1"/>
        <v>0.6</v>
      </c>
    </row>
    <row r="10">
      <c r="A10" s="22">
        <v>1957.0</v>
      </c>
      <c r="B10" s="11">
        <f>IFERROR(__xludf.DUMMYFUNCTION("IFNA(ARRAYFORMULA(SUM(FILTER(Data!N:N, Data!I:I=""CO"", Data!A:A=A10))), 0)"),3.0)</f>
        <v>3</v>
      </c>
      <c r="C10" s="11">
        <f t="shared" si="1"/>
        <v>0.6</v>
      </c>
    </row>
    <row r="11">
      <c r="A11" s="22">
        <v>1958.0</v>
      </c>
      <c r="B11" s="11">
        <f>IFERROR(__xludf.DUMMYFUNCTION("IFNA(ARRAYFORMULA(SUM(FILTER(Data!N:N, Data!I:I=""CO"", Data!A:A=A11))), 0)"),4.0)</f>
        <v>4</v>
      </c>
      <c r="C11" s="11">
        <f t="shared" si="1"/>
        <v>1.4</v>
      </c>
    </row>
    <row r="12">
      <c r="A12" s="22">
        <v>1959.0</v>
      </c>
      <c r="B12" s="11">
        <f>IFERROR(__xludf.DUMMYFUNCTION("IFNA(ARRAYFORMULA(SUM(FILTER(Data!N:N, Data!I:I=""CO"", Data!A:A=A12))), 0)"),1.0)</f>
        <v>1</v>
      </c>
      <c r="C12" s="11">
        <f t="shared" si="1"/>
        <v>1.6</v>
      </c>
    </row>
    <row r="13">
      <c r="A13" s="22">
        <v>1960.0</v>
      </c>
      <c r="B13" s="11">
        <f>IFERROR(__xludf.DUMMYFUNCTION("IFNA(ARRAYFORMULA(SUM(FILTER(Data!N:N, Data!I:I=""CO"", Data!A:A=A13))), 0)"),2.0)</f>
        <v>2</v>
      </c>
      <c r="C13" s="11">
        <f t="shared" si="1"/>
        <v>2</v>
      </c>
    </row>
    <row r="14">
      <c r="A14" s="22">
        <v>1961.0</v>
      </c>
      <c r="B14" s="11">
        <f>IFERROR(__xludf.DUMMYFUNCTION("IFNA(ARRAYFORMULA(SUM(FILTER(Data!N:N, Data!I:I=""CO"", Data!A:A=A14))), 0)"),1.0)</f>
        <v>1</v>
      </c>
      <c r="C14" s="11">
        <f t="shared" si="1"/>
        <v>2.2</v>
      </c>
    </row>
    <row r="15">
      <c r="A15" s="22">
        <v>1962.0</v>
      </c>
      <c r="B15" s="11">
        <f>IFERROR(__xludf.DUMMYFUNCTION("IFNA(ARRAYFORMULA(SUM(FILTER(Data!N:N, Data!I:I=""CO"", Data!A:A=A15))), 0)"),8.0)</f>
        <v>8</v>
      </c>
      <c r="C15" s="11">
        <f t="shared" si="1"/>
        <v>3.2</v>
      </c>
    </row>
    <row r="16">
      <c r="A16" s="22">
        <v>1963.0</v>
      </c>
      <c r="B16" s="11">
        <f>IFERROR(__xludf.DUMMYFUNCTION("IFNA(ARRAYFORMULA(SUM(FILTER(Data!N:N, Data!I:I=""CO"", Data!A:A=A16))), 0)"),3.0)</f>
        <v>3</v>
      </c>
      <c r="C16" s="11">
        <f t="shared" si="1"/>
        <v>3</v>
      </c>
    </row>
    <row r="17">
      <c r="A17" s="22">
        <v>1964.0</v>
      </c>
      <c r="B17" s="11">
        <f>IFERROR(__xludf.DUMMYFUNCTION("IFNA(ARRAYFORMULA(SUM(FILTER(Data!N:N, Data!I:I=""CO"", Data!A:A=A17))), 0)"),0.0)</f>
        <v>0</v>
      </c>
      <c r="C17" s="11">
        <f t="shared" si="1"/>
        <v>2.8</v>
      </c>
    </row>
    <row r="18">
      <c r="A18" s="22">
        <v>1965.0</v>
      </c>
      <c r="B18" s="11">
        <f>IFERROR(__xludf.DUMMYFUNCTION("IFNA(ARRAYFORMULA(SUM(FILTER(Data!N:N, Data!I:I=""CO"", Data!A:A=A18))), 0)"),2.0)</f>
        <v>2</v>
      </c>
      <c r="C18" s="11">
        <f t="shared" si="1"/>
        <v>2.8</v>
      </c>
    </row>
    <row r="19">
      <c r="A19" s="22">
        <v>1966.0</v>
      </c>
      <c r="B19" s="11">
        <f>IFERROR(__xludf.DUMMYFUNCTION("IFNA(ARRAYFORMULA(SUM(FILTER(Data!N:N, Data!I:I=""CO"", Data!A:A=A19))), 0)"),1.0)</f>
        <v>1</v>
      </c>
      <c r="C19" s="11">
        <f t="shared" si="1"/>
        <v>2.8</v>
      </c>
    </row>
    <row r="20">
      <c r="A20" s="22">
        <v>1967.0</v>
      </c>
      <c r="B20" s="11">
        <f>IFERROR(__xludf.DUMMYFUNCTION("IFNA(ARRAYFORMULA(SUM(FILTER(Data!N:N, Data!I:I=""CO"", Data!A:A=A20))), 0)"),2.0)</f>
        <v>2</v>
      </c>
      <c r="C20" s="11">
        <f t="shared" si="1"/>
        <v>1.6</v>
      </c>
    </row>
    <row r="21" ht="15.75" customHeight="1">
      <c r="A21" s="22">
        <v>1968.0</v>
      </c>
      <c r="B21" s="11">
        <f>IFERROR(__xludf.DUMMYFUNCTION("IFNA(ARRAYFORMULA(SUM(FILTER(Data!N:N, Data!I:I=""CO"", Data!A:A=A21))), 0)"),2.0)</f>
        <v>2</v>
      </c>
      <c r="C21" s="11">
        <f t="shared" si="1"/>
        <v>1.4</v>
      </c>
    </row>
    <row r="22" ht="15.75" customHeight="1">
      <c r="A22" s="22">
        <v>1969.0</v>
      </c>
      <c r="B22" s="11">
        <f>IFERROR(__xludf.DUMMYFUNCTION("IFNA(ARRAYFORMULA(SUM(FILTER(Data!N:N, Data!I:I=""CO"", Data!A:A=A22))), 0)"),0.0)</f>
        <v>0</v>
      </c>
      <c r="C22" s="11">
        <f t="shared" si="1"/>
        <v>1.4</v>
      </c>
    </row>
    <row r="23" ht="15.75" customHeight="1">
      <c r="A23" s="22">
        <v>1970.0</v>
      </c>
      <c r="B23" s="11">
        <f>IFERROR(__xludf.DUMMYFUNCTION("IFNA(ARRAYFORMULA(SUM(FILTER(Data!N:N, Data!I:I=""CO"", Data!A:A=A23))), 0)"),1.0)</f>
        <v>1</v>
      </c>
      <c r="C23" s="11">
        <f t="shared" si="1"/>
        <v>1.2</v>
      </c>
    </row>
    <row r="24" ht="15.75" customHeight="1">
      <c r="A24" s="22">
        <v>1971.0</v>
      </c>
      <c r="B24" s="11">
        <f>IFERROR(__xludf.DUMMYFUNCTION("IFNA(ARRAYFORMULA(SUM(FILTER(Data!N:N, Data!I:I=""CO"", Data!A:A=A24))), 0)"),1.0)</f>
        <v>1</v>
      </c>
      <c r="C24" s="11">
        <f t="shared" si="1"/>
        <v>1.2</v>
      </c>
    </row>
    <row r="25" ht="15.75" customHeight="1">
      <c r="A25" s="22">
        <v>1972.0</v>
      </c>
      <c r="B25" s="11">
        <f>IFERROR(__xludf.DUMMYFUNCTION("IFNA(ARRAYFORMULA(SUM(FILTER(Data!N:N, Data!I:I=""CO"", Data!A:A=A25))), 0)"),2.0)</f>
        <v>2</v>
      </c>
      <c r="C25" s="11">
        <f t="shared" si="1"/>
        <v>1.2</v>
      </c>
    </row>
    <row r="26" ht="15.75" customHeight="1">
      <c r="A26" s="22">
        <v>1973.0</v>
      </c>
      <c r="B26" s="11">
        <f>IFERROR(__xludf.DUMMYFUNCTION("IFNA(ARRAYFORMULA(SUM(FILTER(Data!N:N, Data!I:I=""CO"", Data!A:A=A26))), 0)"),2.0)</f>
        <v>2</v>
      </c>
      <c r="C26" s="11">
        <f t="shared" si="1"/>
        <v>1.2</v>
      </c>
    </row>
    <row r="27" ht="15.75" customHeight="1">
      <c r="A27" s="22">
        <v>1974.0</v>
      </c>
      <c r="B27" s="11">
        <f>IFERROR(__xludf.DUMMYFUNCTION("IFNA(ARRAYFORMULA(SUM(FILTER(Data!N:N, Data!I:I=""CO"", Data!A:A=A27))), 0)"),2.0)</f>
        <v>2</v>
      </c>
      <c r="C27" s="11">
        <f t="shared" si="1"/>
        <v>1.6</v>
      </c>
    </row>
    <row r="28" ht="15.75" customHeight="1">
      <c r="A28" s="22">
        <v>1975.0</v>
      </c>
      <c r="B28" s="11">
        <f>IFERROR(__xludf.DUMMYFUNCTION("IFNA(ARRAYFORMULA(SUM(FILTER(Data!N:N, Data!I:I=""CO"", Data!A:A=A28))), 0)"),8.0)</f>
        <v>8</v>
      </c>
      <c r="C28" s="11">
        <f t="shared" si="1"/>
        <v>3</v>
      </c>
    </row>
    <row r="29" ht="15.75" customHeight="1">
      <c r="A29" s="22">
        <v>1976.0</v>
      </c>
      <c r="B29" s="11">
        <f>IFERROR(__xludf.DUMMYFUNCTION("IFNA(ARRAYFORMULA(SUM(FILTER(Data!N:N, Data!I:I=""CO"", Data!A:A=A29))), 0)"),3.0)</f>
        <v>3</v>
      </c>
      <c r="C29" s="11">
        <f t="shared" si="1"/>
        <v>3.4</v>
      </c>
    </row>
    <row r="30" ht="15.75" customHeight="1">
      <c r="A30" s="22">
        <v>1977.0</v>
      </c>
      <c r="B30" s="11">
        <f>IFERROR(__xludf.DUMMYFUNCTION("IFNA(ARRAYFORMULA(SUM(FILTER(Data!N:N, Data!I:I=""CO"", Data!A:A=A30))), 0)"),1.0)</f>
        <v>1</v>
      </c>
      <c r="C30" s="11">
        <f t="shared" si="1"/>
        <v>3.2</v>
      </c>
    </row>
    <row r="31" ht="15.75" customHeight="1">
      <c r="A31" s="22">
        <v>1978.0</v>
      </c>
      <c r="B31" s="11">
        <f>IFERROR(__xludf.DUMMYFUNCTION("IFNA(ARRAYFORMULA(SUM(FILTER(Data!N:N, Data!I:I=""CO"", Data!A:A=A31))), 0)"),5.0)</f>
        <v>5</v>
      </c>
      <c r="C31" s="11">
        <f t="shared" si="1"/>
        <v>3.8</v>
      </c>
    </row>
    <row r="32" ht="15.75" customHeight="1">
      <c r="A32" s="22">
        <v>1979.0</v>
      </c>
      <c r="B32" s="11">
        <f>IFERROR(__xludf.DUMMYFUNCTION("IFNA(ARRAYFORMULA(SUM(FILTER(Data!N:N, Data!I:I=""CO"", Data!A:A=A32))), 0)"),2.0)</f>
        <v>2</v>
      </c>
      <c r="C32" s="11">
        <f t="shared" si="1"/>
        <v>3.8</v>
      </c>
    </row>
    <row r="33" ht="15.75" customHeight="1">
      <c r="A33" s="22">
        <v>1980.0</v>
      </c>
      <c r="B33" s="11">
        <f>IFERROR(__xludf.DUMMYFUNCTION("IFNA(ARRAYFORMULA(SUM(FILTER(Data!N:N, Data!I:I=""CO"", Data!A:A=A33))), 0)"),1.0)</f>
        <v>1</v>
      </c>
      <c r="C33" s="11">
        <f t="shared" si="1"/>
        <v>2.4</v>
      </c>
    </row>
    <row r="34" ht="15.75" customHeight="1">
      <c r="A34" s="22">
        <v>1981.0</v>
      </c>
      <c r="B34" s="11">
        <f>IFERROR(__xludf.DUMMYFUNCTION("IFNA(ARRAYFORMULA(SUM(FILTER(Data!N:N, Data!I:I=""CO"", Data!A:A=A34))), 0)"),4.0)</f>
        <v>4</v>
      </c>
      <c r="C34" s="11">
        <f t="shared" si="1"/>
        <v>2.6</v>
      </c>
    </row>
    <row r="35" ht="15.75" customHeight="1">
      <c r="A35" s="22">
        <v>1982.0</v>
      </c>
      <c r="B35" s="11">
        <f>IFERROR(__xludf.DUMMYFUNCTION("IFNA(ARRAYFORMULA(SUM(FILTER(Data!N:N, Data!I:I=""CO"", Data!A:A=A35))), 0)"),4.0)</f>
        <v>4</v>
      </c>
      <c r="C35" s="11">
        <f t="shared" si="1"/>
        <v>3.2</v>
      </c>
    </row>
    <row r="36" ht="15.75" customHeight="1">
      <c r="A36" s="22">
        <v>1983.0</v>
      </c>
      <c r="B36" s="11">
        <f>IFERROR(__xludf.DUMMYFUNCTION("IFNA(ARRAYFORMULA(SUM(FILTER(Data!N:N, Data!I:I=""CO"", Data!A:A=A36))), 0)"),5.0)</f>
        <v>5</v>
      </c>
      <c r="C36" s="11">
        <f t="shared" si="1"/>
        <v>3.2</v>
      </c>
    </row>
    <row r="37" ht="15.75" customHeight="1">
      <c r="A37" s="22">
        <v>1984.0</v>
      </c>
      <c r="B37" s="11">
        <f>IFERROR(__xludf.DUMMYFUNCTION("IFNA(ARRAYFORMULA(SUM(FILTER(Data!N:N, Data!I:I=""CO"", Data!A:A=A37))), 0)"),9.0)</f>
        <v>9</v>
      </c>
      <c r="C37" s="11">
        <f t="shared" si="1"/>
        <v>4.6</v>
      </c>
    </row>
    <row r="38" ht="15.75" customHeight="1">
      <c r="A38" s="22">
        <v>1985.0</v>
      </c>
      <c r="B38" s="11">
        <f>IFERROR(__xludf.DUMMYFUNCTION("IFNA(ARRAYFORMULA(SUM(FILTER(Data!N:N, Data!I:I=""CO"", Data!A:A=A38))), 0)"),4.0)</f>
        <v>4</v>
      </c>
      <c r="C38" s="11">
        <f t="shared" si="1"/>
        <v>5.2</v>
      </c>
    </row>
    <row r="39" ht="15.75" customHeight="1">
      <c r="A39" s="22">
        <v>1986.0</v>
      </c>
      <c r="B39" s="11">
        <f>IFERROR(__xludf.DUMMYFUNCTION("IFNA(ARRAYFORMULA(SUM(FILTER(Data!N:N, Data!I:I=""CO"", Data!A:A=A39))), 0)"),4.0)</f>
        <v>4</v>
      </c>
      <c r="C39" s="11">
        <f t="shared" si="1"/>
        <v>5.2</v>
      </c>
    </row>
    <row r="40" ht="15.75" customHeight="1">
      <c r="A40" s="22">
        <v>1987.0</v>
      </c>
      <c r="B40" s="11">
        <f>IFERROR(__xludf.DUMMYFUNCTION("IFNA(ARRAYFORMULA(SUM(FILTER(Data!N:N, Data!I:I=""CO"", Data!A:A=A40))), 0)"),11.0)</f>
        <v>11</v>
      </c>
      <c r="C40" s="11">
        <f t="shared" si="1"/>
        <v>6.6</v>
      </c>
    </row>
    <row r="41" ht="15.75" customHeight="1">
      <c r="A41" s="22">
        <v>1988.0</v>
      </c>
      <c r="B41" s="11">
        <f>IFERROR(__xludf.DUMMYFUNCTION("IFNA(ARRAYFORMULA(SUM(FILTER(Data!N:N, Data!I:I=""CO"", Data!A:A=A41))), 0)"),5.0)</f>
        <v>5</v>
      </c>
      <c r="C41" s="11">
        <f t="shared" si="1"/>
        <v>6.6</v>
      </c>
    </row>
    <row r="42" ht="15.75" customHeight="1">
      <c r="A42" s="22">
        <v>1989.0</v>
      </c>
      <c r="B42" s="11">
        <f>IFERROR(__xludf.DUMMYFUNCTION("IFNA(ARRAYFORMULA(SUM(FILTER(Data!N:N, Data!I:I=""CO"", Data!A:A=A42))), 0)"),4.0)</f>
        <v>4</v>
      </c>
      <c r="C42" s="11">
        <f t="shared" si="1"/>
        <v>5.6</v>
      </c>
    </row>
    <row r="43" ht="15.75" customHeight="1">
      <c r="A43" s="22">
        <v>1990.0</v>
      </c>
      <c r="B43" s="11">
        <f>IFERROR(__xludf.DUMMYFUNCTION("IFNA(ARRAYFORMULA(SUM(FILTER(Data!N:N, Data!I:I=""CO"", Data!A:A=A43))), 0)"),4.0)</f>
        <v>4</v>
      </c>
      <c r="C43" s="11">
        <f t="shared" si="1"/>
        <v>5.6</v>
      </c>
    </row>
    <row r="44" ht="15.75" customHeight="1">
      <c r="A44" s="22">
        <v>1991.0</v>
      </c>
      <c r="B44" s="11">
        <f>IFERROR(__xludf.DUMMYFUNCTION("IFNA(ARRAYFORMULA(SUM(FILTER(Data!N:N, Data!I:I=""CO"", Data!A:A=A44))), 0)"),7.0)</f>
        <v>7</v>
      </c>
      <c r="C44" s="11">
        <f t="shared" si="1"/>
        <v>6.2</v>
      </c>
    </row>
    <row r="45" ht="15.75" customHeight="1">
      <c r="A45" s="22">
        <v>1992.0</v>
      </c>
      <c r="B45" s="11">
        <f>IFERROR(__xludf.DUMMYFUNCTION("IFNA(ARRAYFORMULA(SUM(FILTER(Data!N:N, Data!I:I=""CO"", Data!A:A=A45))), 0)"),9.0)</f>
        <v>9</v>
      </c>
      <c r="C45" s="11">
        <f t="shared" si="1"/>
        <v>5.8</v>
      </c>
    </row>
    <row r="46" ht="15.75" customHeight="1">
      <c r="A46" s="22">
        <v>1993.0</v>
      </c>
      <c r="B46" s="11">
        <f>IFERROR(__xludf.DUMMYFUNCTION("IFNA(ARRAYFORMULA(SUM(FILTER(Data!N:N, Data!I:I=""CO"", Data!A:A=A46))), 0)"),12.0)</f>
        <v>12</v>
      </c>
      <c r="C46" s="11">
        <f t="shared" si="1"/>
        <v>7.2</v>
      </c>
    </row>
    <row r="47" ht="15.75" customHeight="1">
      <c r="A47" s="22">
        <v>1994.0</v>
      </c>
      <c r="B47" s="11">
        <f>IFERROR(__xludf.DUMMYFUNCTION("IFNA(ARRAYFORMULA(SUM(FILTER(Data!N:N, Data!I:I=""CO"", Data!A:A=A47))), 0)"),1.0)</f>
        <v>1</v>
      </c>
      <c r="C47" s="11">
        <f t="shared" si="1"/>
        <v>6.6</v>
      </c>
    </row>
    <row r="48" ht="15.75" customHeight="1">
      <c r="A48" s="22">
        <v>1995.0</v>
      </c>
      <c r="B48" s="11">
        <f>IFERROR(__xludf.DUMMYFUNCTION("IFNA(ARRAYFORMULA(SUM(FILTER(Data!N:N, Data!I:I=""CO"", Data!A:A=A48))), 0)"),9.0)</f>
        <v>9</v>
      </c>
      <c r="C48" s="11">
        <f t="shared" si="1"/>
        <v>7.6</v>
      </c>
    </row>
    <row r="49" ht="15.75" customHeight="1">
      <c r="A49" s="22">
        <v>1996.0</v>
      </c>
      <c r="B49" s="11">
        <f>IFERROR(__xludf.DUMMYFUNCTION("IFNA(ARRAYFORMULA(SUM(FILTER(Data!N:N, Data!I:I=""CO"", Data!A:A=A49))), 0)"),7.0)</f>
        <v>7</v>
      </c>
      <c r="C49" s="11">
        <f t="shared" si="1"/>
        <v>7.6</v>
      </c>
    </row>
    <row r="50" ht="15.75" customHeight="1">
      <c r="A50" s="22">
        <v>1997.0</v>
      </c>
      <c r="B50" s="11">
        <f>IFERROR(__xludf.DUMMYFUNCTION("IFNA(ARRAYFORMULA(SUM(FILTER(Data!N:N, Data!I:I=""CO"", Data!A:A=A50))), 0)"),1.0)</f>
        <v>1</v>
      </c>
      <c r="C50" s="11">
        <f t="shared" si="1"/>
        <v>6</v>
      </c>
    </row>
    <row r="51" ht="15.75" customHeight="1">
      <c r="A51" s="22">
        <v>1998.0</v>
      </c>
      <c r="B51" s="11">
        <f>IFERROR(__xludf.DUMMYFUNCTION("IFNA(ARRAYFORMULA(SUM(FILTER(Data!N:N, Data!I:I=""CO"", Data!A:A=A51))), 0)"),6.0)</f>
        <v>6</v>
      </c>
      <c r="C51" s="11">
        <f t="shared" si="1"/>
        <v>4.8</v>
      </c>
    </row>
    <row r="52" ht="15.75" customHeight="1">
      <c r="A52" s="22">
        <v>1999.0</v>
      </c>
      <c r="B52" s="11">
        <f>IFERROR(__xludf.DUMMYFUNCTION("IFNA(ARRAYFORMULA(SUM(FILTER(Data!N:N, Data!I:I=""CO"", Data!A:A=A52))), 0)"),6.0)</f>
        <v>6</v>
      </c>
      <c r="C52" s="11">
        <f t="shared" si="1"/>
        <v>5.8</v>
      </c>
    </row>
    <row r="53" ht="15.75" customHeight="1">
      <c r="A53" s="22">
        <v>2000.0</v>
      </c>
      <c r="B53" s="11">
        <f>IFERROR(__xludf.DUMMYFUNCTION("IFNA(ARRAYFORMULA(SUM(FILTER(Data!N:N, Data!I:I=""CO"", Data!A:A=A53))), 0)"),8.0)</f>
        <v>8</v>
      </c>
      <c r="C53" s="11">
        <f t="shared" si="1"/>
        <v>5.6</v>
      </c>
    </row>
    <row r="54" ht="15.75" customHeight="1">
      <c r="A54" s="22">
        <v>2001.0</v>
      </c>
      <c r="B54" s="11">
        <f>IFERROR(__xludf.DUMMYFUNCTION("IFNA(ARRAYFORMULA(SUM(FILTER(Data!N:N, Data!I:I=""CO"", Data!A:A=A54))), 0)"),4.0)</f>
        <v>4</v>
      </c>
      <c r="C54" s="11">
        <f t="shared" si="1"/>
        <v>5</v>
      </c>
    </row>
    <row r="55" ht="15.75" customHeight="1">
      <c r="A55" s="22">
        <v>2002.0</v>
      </c>
      <c r="B55" s="11">
        <f>IFERROR(__xludf.DUMMYFUNCTION("IFNA(ARRAYFORMULA(SUM(FILTER(Data!N:N, Data!I:I=""CO"", Data!A:A=A55))), 0)"),8.0)</f>
        <v>8</v>
      </c>
      <c r="C55" s="11">
        <f t="shared" si="1"/>
        <v>6.4</v>
      </c>
    </row>
    <row r="56" ht="15.75" customHeight="1">
      <c r="A56" s="22">
        <v>2003.0</v>
      </c>
      <c r="B56" s="11">
        <f>IFERROR(__xludf.DUMMYFUNCTION("IFNA(ARRAYFORMULA(SUM(FILTER(Data!N:N, Data!I:I=""CO"", Data!A:A=A56))), 0)"),6.0)</f>
        <v>6</v>
      </c>
      <c r="C56" s="11">
        <f t="shared" si="1"/>
        <v>6.4</v>
      </c>
    </row>
    <row r="57" ht="15.75" customHeight="1">
      <c r="A57" s="22">
        <v>2004.0</v>
      </c>
      <c r="B57" s="11">
        <f>IFERROR(__xludf.DUMMYFUNCTION("IFNA(ARRAYFORMULA(SUM(FILTER(Data!N:N, Data!I:I=""CO"", Data!A:A=A57))), 0)"),3.0)</f>
        <v>3</v>
      </c>
      <c r="C57" s="11">
        <f t="shared" si="1"/>
        <v>5.8</v>
      </c>
    </row>
    <row r="58" ht="15.75" customHeight="1">
      <c r="A58" s="22">
        <v>2005.0</v>
      </c>
      <c r="B58" s="11">
        <f>IFERROR(__xludf.DUMMYFUNCTION("IFNA(ARRAYFORMULA(SUM(FILTER(Data!N:N, Data!I:I=""CO"", Data!A:A=A58))), 0)"),5.0)</f>
        <v>5</v>
      </c>
      <c r="C58" s="11">
        <f t="shared" si="1"/>
        <v>5.2</v>
      </c>
    </row>
    <row r="59" ht="15.75" customHeight="1">
      <c r="A59" s="22">
        <v>2006.0</v>
      </c>
      <c r="B59" s="11">
        <f>IFERROR(__xludf.DUMMYFUNCTION("IFNA(ARRAYFORMULA(SUM(FILTER(Data!N:N, Data!I:I=""CO"", Data!A:A=A59))), 0)"),4.0)</f>
        <v>4</v>
      </c>
      <c r="C59" s="11">
        <f t="shared" si="1"/>
        <v>5.2</v>
      </c>
    </row>
    <row r="60" ht="15.75" customHeight="1">
      <c r="A60" s="22">
        <v>2007.0</v>
      </c>
      <c r="B60" s="11">
        <f>IFERROR(__xludf.DUMMYFUNCTION("IFNA(ARRAYFORMULA(SUM(FILTER(Data!N:N, Data!I:I=""CO"", Data!A:A=A60))), 0)"),5.0)</f>
        <v>5</v>
      </c>
      <c r="C60" s="11">
        <f t="shared" si="1"/>
        <v>4.6</v>
      </c>
    </row>
    <row r="61" ht="15.75" customHeight="1">
      <c r="A61" s="22">
        <v>2008.0</v>
      </c>
      <c r="B61" s="11">
        <f>IFERROR(__xludf.DUMMYFUNCTION("IFNA(ARRAYFORMULA(SUM(FILTER(Data!N:N, Data!I:I=""CO"", Data!A:A=A61))), 0)"),5.0)</f>
        <v>5</v>
      </c>
      <c r="C61" s="11">
        <f t="shared" si="1"/>
        <v>4.4</v>
      </c>
    </row>
    <row r="62" ht="15.75" customHeight="1">
      <c r="A62" s="22">
        <v>2009.0</v>
      </c>
      <c r="B62" s="11">
        <f>IFERROR(__xludf.DUMMYFUNCTION("IFNA(ARRAYFORMULA(SUM(FILTER(Data!N:N, Data!I:I=""CO"", Data!A:A=A62))), 0)"),4.0)</f>
        <v>4</v>
      </c>
      <c r="C62" s="11">
        <f t="shared" si="1"/>
        <v>4.6</v>
      </c>
    </row>
    <row r="63" ht="15.75" customHeight="1">
      <c r="A63" s="22">
        <v>2010.0</v>
      </c>
      <c r="B63" s="11">
        <f>IFERROR(__xludf.DUMMYFUNCTION("IFNA(ARRAYFORMULA(SUM(FILTER(Data!N:N, Data!I:I=""CO"", Data!A:A=A63))), 0)"),8.0)</f>
        <v>8</v>
      </c>
      <c r="C63" s="11">
        <f t="shared" si="1"/>
        <v>5.2</v>
      </c>
    </row>
    <row r="64" ht="15.75" customHeight="1">
      <c r="A64" s="22">
        <v>2011.0</v>
      </c>
      <c r="B64" s="11">
        <f>IFERROR(__xludf.DUMMYFUNCTION("IFNA(ARRAYFORMULA(SUM(FILTER(Data!N:N, Data!I:I=""CO"", Data!A:A=A64))), 0)"),7.0)</f>
        <v>7</v>
      </c>
      <c r="C64" s="11">
        <f t="shared" si="1"/>
        <v>5.8</v>
      </c>
    </row>
    <row r="65" ht="15.75" customHeight="1">
      <c r="A65" s="22">
        <v>2012.0</v>
      </c>
      <c r="B65" s="11">
        <f>IFERROR(__xludf.DUMMYFUNCTION("IFNA(ARRAYFORMULA(SUM(FILTER(Data!N:N, Data!I:I=""CO"", Data!A:A=A65))), 0)"),7.0)</f>
        <v>7</v>
      </c>
      <c r="C65" s="11">
        <f t="shared" si="1"/>
        <v>6.2</v>
      </c>
    </row>
    <row r="66" ht="15.75" customHeight="1">
      <c r="A66" s="22">
        <v>2013.0</v>
      </c>
      <c r="B66" s="11">
        <f>IFERROR(__xludf.DUMMYFUNCTION("IFNA(ARRAYFORMULA(SUM(FILTER(Data!N:N, Data!I:I=""CO"", Data!A:A=A66))), 0)"),11.0)</f>
        <v>11</v>
      </c>
      <c r="C66" s="11">
        <f t="shared" si="1"/>
        <v>7.4</v>
      </c>
    </row>
    <row r="67" ht="15.75" customHeight="1">
      <c r="A67" s="22">
        <v>2014.0</v>
      </c>
      <c r="B67" s="11">
        <f>IFERROR(__xludf.DUMMYFUNCTION("IFNA(ARRAYFORMULA(SUM(FILTER(Data!N:N, Data!I:I=""CO"", Data!A:A=A67))), 0)"),8.0)</f>
        <v>8</v>
      </c>
      <c r="C67" s="11">
        <f t="shared" si="1"/>
        <v>8.2</v>
      </c>
    </row>
    <row r="68" ht="15.75" customHeight="1">
      <c r="A68" s="22">
        <v>2015.0</v>
      </c>
      <c r="B68" s="11">
        <f>IFERROR(__xludf.DUMMYFUNCTION("IFNA(ARRAYFORMULA(SUM(FILTER(Data!N:N, Data!I:I=""CO"", Data!A:A=A68))), 0)"),3.0)</f>
        <v>3</v>
      </c>
      <c r="C68" s="11">
        <f t="shared" si="1"/>
        <v>7.2</v>
      </c>
    </row>
    <row r="69" ht="15.75" customHeight="1">
      <c r="A69" s="22">
        <v>2016.0</v>
      </c>
      <c r="B69" s="11">
        <f>IFERROR(__xludf.DUMMYFUNCTION("IFNA(ARRAYFORMULA(SUM(FILTER(Data!N:N, Data!I:I=""CO"", Data!A:A=A69))), 0)"),5.0)</f>
        <v>5</v>
      </c>
      <c r="C69" s="11">
        <f t="shared" si="1"/>
        <v>6.8</v>
      </c>
    </row>
    <row r="70" ht="15.75" customHeight="1">
      <c r="A70" s="22">
        <v>2017.0</v>
      </c>
      <c r="B70" s="11">
        <f>IFERROR(__xludf.DUMMYFUNCTION("IFNA(ARRAYFORMULA(SUM(FILTER(Data!N:N, Data!I:I=""CO"", Data!A:A=A70))), 0)"),1.0)</f>
        <v>1</v>
      </c>
      <c r="C70" s="11">
        <f t="shared" si="1"/>
        <v>5.6</v>
      </c>
    </row>
    <row r="71" ht="15.75" customHeight="1">
      <c r="A71" s="22">
        <v>2018.0</v>
      </c>
      <c r="B71" s="11">
        <f>IFERROR(__xludf.DUMMYFUNCTION("IFNA(ARRAYFORMULA(SUM(FILTER(Data!N:N, Data!I:I=""CO"", Data!A:A=A71))), 0)"),3.0)</f>
        <v>3</v>
      </c>
      <c r="C71" s="11">
        <f t="shared" si="1"/>
        <v>4</v>
      </c>
    </row>
    <row r="72" ht="15.75" customHeight="1">
      <c r="A72" s="22">
        <v>2019.0</v>
      </c>
      <c r="B72" s="11">
        <f>IFERROR(__xludf.DUMMYFUNCTION("IFNA(ARRAYFORMULA(SUM(FILTER(Data!N:N, Data!I:I=""CO"", Data!A:A=A72))), 0)"),8.0)</f>
        <v>8</v>
      </c>
      <c r="C72" s="11">
        <f t="shared" si="1"/>
        <v>4</v>
      </c>
    </row>
    <row r="73" ht="15.75" customHeight="1">
      <c r="A73" s="22">
        <v>2020.0</v>
      </c>
      <c r="B73" s="11">
        <f>IFERROR(__xludf.DUMMYFUNCTION("IFNA(ARRAYFORMULA(SUM(FILTER(Data!N:N, Data!I:I=""CO"", Data!A:A=A73))), 0)"),6.0)</f>
        <v>6</v>
      </c>
      <c r="C73" s="11">
        <f t="shared" si="1"/>
        <v>4.6</v>
      </c>
    </row>
    <row r="74" ht="15.75" customHeight="1">
      <c r="A74" s="21">
        <v>2021.0</v>
      </c>
      <c r="B74" s="11">
        <f>IFERROR(__xludf.DUMMYFUNCTION("IFNA(ARRAYFORMULA(SUM(FILTER(Data!N:N, Data!I:I=""CO"", Data!A:A=A74))), 0)"),12.0)</f>
        <v>12</v>
      </c>
      <c r="C74" s="11">
        <f t="shared" si="1"/>
        <v>6</v>
      </c>
    </row>
    <row r="75" ht="15.75" customHeight="1">
      <c r="A75" s="21">
        <v>2022.0</v>
      </c>
      <c r="B75" s="9">
        <v>7.0</v>
      </c>
      <c r="C75" s="11">
        <f t="shared" si="1"/>
        <v>7.2</v>
      </c>
    </row>
    <row r="76" ht="15.75" customHeight="1">
      <c r="A76" s="21">
        <v>2023.0</v>
      </c>
      <c r="B76" s="9">
        <v>11.0</v>
      </c>
      <c r="C76" s="11">
        <f t="shared" si="1"/>
        <v>8.8</v>
      </c>
    </row>
    <row r="77" ht="15.75" customHeight="1">
      <c r="A77" s="20"/>
    </row>
    <row r="78" ht="15.75" customHeight="1">
      <c r="A78" s="20"/>
    </row>
    <row r="79" ht="15.75" customHeight="1">
      <c r="A79" s="20"/>
    </row>
    <row r="80" ht="15.75" customHeight="1">
      <c r="A80" s="20"/>
    </row>
    <row r="81" ht="15.75" customHeight="1">
      <c r="A81" s="20"/>
    </row>
    <row r="82" ht="15.75" customHeight="1">
      <c r="A82" s="20"/>
    </row>
    <row r="83" ht="15.75" customHeight="1">
      <c r="A83" s="20"/>
    </row>
    <row r="84" ht="15.75" customHeight="1">
      <c r="A84" s="20"/>
    </row>
    <row r="85" ht="15.75" customHeight="1">
      <c r="A85" s="20"/>
    </row>
    <row r="86" ht="15.75" customHeight="1">
      <c r="A86" s="20"/>
    </row>
    <row r="87" ht="15.75" customHeight="1">
      <c r="A87" s="20"/>
    </row>
    <row r="88" ht="15.75" customHeight="1">
      <c r="A88" s="20"/>
    </row>
    <row r="89" ht="15.75" customHeight="1">
      <c r="A89" s="20"/>
    </row>
    <row r="90" ht="15.75" customHeight="1">
      <c r="A90" s="20"/>
    </row>
    <row r="91" ht="15.75" customHeight="1">
      <c r="A91" s="20"/>
    </row>
    <row r="92" ht="15.75" customHeight="1">
      <c r="A92" s="20"/>
    </row>
    <row r="93" ht="15.75" customHeight="1">
      <c r="A93" s="20"/>
    </row>
    <row r="94" ht="15.75" customHeight="1">
      <c r="A94" s="20"/>
    </row>
    <row r="95" ht="15.75" customHeight="1">
      <c r="A95" s="20"/>
    </row>
    <row r="96" ht="15.75" customHeight="1">
      <c r="A96" s="20"/>
    </row>
    <row r="97" ht="15.75" customHeight="1">
      <c r="A97" s="20"/>
    </row>
    <row r="98" ht="15.75" customHeight="1">
      <c r="A98" s="20"/>
    </row>
    <row r="99" ht="15.75" customHeight="1">
      <c r="A99" s="20"/>
    </row>
    <row r="100" ht="15.75" customHeight="1">
      <c r="A100" s="20"/>
    </row>
    <row r="101" ht="15.75" customHeight="1">
      <c r="A101" s="20"/>
    </row>
    <row r="102" ht="15.75" customHeight="1">
      <c r="A102" s="20"/>
    </row>
    <row r="103" ht="15.75" customHeight="1">
      <c r="A103" s="20"/>
    </row>
    <row r="104" ht="15.75" customHeight="1">
      <c r="A104" s="20"/>
    </row>
    <row r="105" ht="15.75" customHeight="1">
      <c r="A105" s="20"/>
    </row>
    <row r="106" ht="15.75" customHeight="1">
      <c r="A106" s="20"/>
    </row>
    <row r="107" ht="15.75" customHeight="1">
      <c r="A107" s="20"/>
    </row>
    <row r="108" ht="15.75" customHeight="1">
      <c r="A108" s="20"/>
    </row>
    <row r="109" ht="15.75" customHeight="1">
      <c r="A109" s="20"/>
    </row>
    <row r="110" ht="15.75" customHeight="1">
      <c r="A110" s="20"/>
    </row>
    <row r="111" ht="15.75" customHeight="1">
      <c r="A111" s="20"/>
    </row>
    <row r="112" ht="15.75" customHeight="1">
      <c r="A112" s="20"/>
    </row>
    <row r="113" ht="15.75" customHeight="1">
      <c r="A113" s="20"/>
    </row>
    <row r="114" ht="15.75" customHeight="1">
      <c r="A114" s="20"/>
    </row>
    <row r="115" ht="15.75" customHeight="1">
      <c r="A115" s="20"/>
    </row>
    <row r="116" ht="15.75" customHeight="1">
      <c r="A116" s="20"/>
    </row>
    <row r="117" ht="15.75" customHeight="1">
      <c r="A117" s="20"/>
    </row>
    <row r="118" ht="15.75" customHeight="1">
      <c r="A118" s="20"/>
    </row>
    <row r="119" ht="15.75" customHeight="1">
      <c r="A119" s="20"/>
    </row>
    <row r="120" ht="15.75" customHeight="1">
      <c r="A120" s="20"/>
    </row>
    <row r="121" ht="15.75" customHeight="1">
      <c r="A121" s="20"/>
    </row>
    <row r="122" ht="15.75" customHeight="1">
      <c r="A122" s="20"/>
    </row>
    <row r="123" ht="15.75" customHeight="1">
      <c r="A123" s="20"/>
    </row>
    <row r="124" ht="15.75" customHeight="1">
      <c r="A124" s="20"/>
    </row>
    <row r="125" ht="15.75" customHeight="1">
      <c r="A125" s="20"/>
    </row>
    <row r="126" ht="15.75" customHeight="1">
      <c r="A126" s="20"/>
    </row>
    <row r="127" ht="15.75" customHeight="1">
      <c r="A127" s="20"/>
    </row>
    <row r="128" ht="15.75" customHeight="1">
      <c r="A128" s="20"/>
    </row>
    <row r="129" ht="15.75" customHeight="1">
      <c r="A129" s="20"/>
    </row>
    <row r="130" ht="15.75" customHeight="1">
      <c r="A130" s="20"/>
    </row>
    <row r="131" ht="15.75" customHeight="1">
      <c r="A131" s="20"/>
    </row>
    <row r="132" ht="15.75" customHeight="1">
      <c r="A132" s="20"/>
    </row>
    <row r="133" ht="15.75" customHeight="1">
      <c r="A133" s="20"/>
    </row>
    <row r="134" ht="15.75" customHeight="1">
      <c r="A134" s="20"/>
    </row>
    <row r="135" ht="15.75" customHeight="1">
      <c r="A135" s="20"/>
    </row>
    <row r="136" ht="15.75" customHeight="1">
      <c r="A136" s="20"/>
    </row>
    <row r="137" ht="15.75" customHeight="1">
      <c r="A137" s="20"/>
    </row>
    <row r="138" ht="15.75" customHeight="1">
      <c r="A138" s="20"/>
    </row>
    <row r="139" ht="15.75" customHeight="1">
      <c r="A139" s="20"/>
    </row>
    <row r="140" ht="15.75" customHeight="1">
      <c r="A140" s="20"/>
    </row>
    <row r="141" ht="15.75" customHeight="1">
      <c r="A141" s="20"/>
    </row>
    <row r="142" ht="15.75" customHeight="1">
      <c r="A142" s="20"/>
    </row>
    <row r="143" ht="15.75" customHeight="1">
      <c r="A143" s="20"/>
    </row>
    <row r="144" ht="15.75" customHeight="1">
      <c r="A144" s="20"/>
    </row>
    <row r="145" ht="15.75" customHeight="1">
      <c r="A145" s="20"/>
    </row>
    <row r="146" ht="15.75" customHeight="1">
      <c r="A146" s="20"/>
    </row>
    <row r="147" ht="15.75" customHeight="1">
      <c r="A147" s="20"/>
    </row>
    <row r="148" ht="15.75" customHeight="1">
      <c r="A148" s="20"/>
    </row>
    <row r="149" ht="15.75" customHeight="1">
      <c r="A149" s="20"/>
    </row>
    <row r="150" ht="15.75" customHeight="1">
      <c r="A150" s="20"/>
    </row>
    <row r="151" ht="15.75" customHeight="1">
      <c r="A151" s="20"/>
    </row>
    <row r="152" ht="15.75" customHeight="1">
      <c r="A152" s="20"/>
    </row>
    <row r="153" ht="15.75" customHeight="1">
      <c r="A153" s="20"/>
    </row>
    <row r="154" ht="15.75" customHeight="1">
      <c r="A154" s="20"/>
    </row>
    <row r="155" ht="15.75" customHeight="1">
      <c r="A155" s="20"/>
    </row>
    <row r="156" ht="15.75" customHeight="1">
      <c r="A156" s="20"/>
    </row>
    <row r="157" ht="15.75" customHeight="1">
      <c r="A157" s="20"/>
    </row>
    <row r="158" ht="15.75" customHeight="1">
      <c r="A158" s="20"/>
    </row>
    <row r="159" ht="15.75" customHeight="1">
      <c r="A159" s="20"/>
    </row>
    <row r="160" ht="15.75" customHeight="1">
      <c r="A160" s="20"/>
    </row>
    <row r="161" ht="15.75" customHeight="1">
      <c r="A161" s="20"/>
    </row>
    <row r="162" ht="15.75" customHeight="1">
      <c r="A162" s="20"/>
    </row>
    <row r="163" ht="15.75" customHeight="1">
      <c r="A163" s="20"/>
    </row>
    <row r="164" ht="15.75" customHeight="1">
      <c r="A164" s="20"/>
    </row>
    <row r="165" ht="15.75" customHeight="1">
      <c r="A165" s="20"/>
    </row>
    <row r="166" ht="15.75" customHeight="1">
      <c r="A166" s="20"/>
    </row>
    <row r="167" ht="15.75" customHeight="1">
      <c r="A167" s="20"/>
    </row>
    <row r="168" ht="15.75" customHeight="1">
      <c r="A168" s="20"/>
    </row>
    <row r="169" ht="15.75" customHeight="1">
      <c r="A169" s="20"/>
    </row>
    <row r="170" ht="15.75" customHeight="1">
      <c r="A170" s="20"/>
    </row>
    <row r="171" ht="15.75" customHeight="1">
      <c r="A171" s="20"/>
    </row>
    <row r="172" ht="15.75" customHeight="1">
      <c r="A172" s="20"/>
    </row>
    <row r="173" ht="15.75" customHeight="1">
      <c r="A173" s="20"/>
    </row>
    <row r="174" ht="15.75" customHeight="1">
      <c r="A174" s="20"/>
    </row>
    <row r="175" ht="15.75" customHeight="1">
      <c r="A175" s="20"/>
    </row>
    <row r="176" ht="15.75" customHeight="1">
      <c r="A176" s="20"/>
    </row>
    <row r="177" ht="15.75" customHeight="1">
      <c r="A177" s="20"/>
    </row>
    <row r="178" ht="15.75" customHeight="1">
      <c r="A178" s="20"/>
    </row>
    <row r="179" ht="15.75" customHeight="1">
      <c r="A179" s="20"/>
    </row>
    <row r="180" ht="15.75" customHeight="1">
      <c r="A180" s="20"/>
    </row>
    <row r="181" ht="15.75" customHeight="1">
      <c r="A181" s="20"/>
    </row>
    <row r="182" ht="15.75" customHeight="1">
      <c r="A182" s="20"/>
    </row>
    <row r="183" ht="15.75" customHeight="1">
      <c r="A183" s="20"/>
    </row>
    <row r="184" ht="15.75" customHeight="1">
      <c r="A184" s="20"/>
    </row>
    <row r="185" ht="15.75" customHeight="1">
      <c r="A185" s="20"/>
    </row>
    <row r="186" ht="15.75" customHeight="1">
      <c r="A186" s="20"/>
    </row>
    <row r="187" ht="15.75" customHeight="1">
      <c r="A187" s="20"/>
    </row>
    <row r="188" ht="15.75" customHeight="1">
      <c r="A188" s="20"/>
    </row>
    <row r="189" ht="15.75" customHeight="1">
      <c r="A189" s="20"/>
    </row>
    <row r="190" ht="15.75" customHeight="1">
      <c r="A190" s="20"/>
    </row>
    <row r="191" ht="15.75" customHeight="1">
      <c r="A191" s="20"/>
    </row>
    <row r="192" ht="15.75" customHeight="1">
      <c r="A192" s="20"/>
    </row>
    <row r="193" ht="15.75" customHeight="1">
      <c r="A193" s="20"/>
    </row>
    <row r="194" ht="15.75" customHeight="1">
      <c r="A194" s="20"/>
    </row>
    <row r="195" ht="15.75" customHeight="1">
      <c r="A195" s="20"/>
    </row>
    <row r="196" ht="15.75" customHeight="1">
      <c r="A196" s="20"/>
    </row>
    <row r="197" ht="15.75" customHeight="1">
      <c r="A197" s="20"/>
    </row>
    <row r="198" ht="15.75" customHeight="1">
      <c r="A198" s="20"/>
    </row>
    <row r="199" ht="15.75" customHeight="1">
      <c r="A199" s="20"/>
    </row>
    <row r="200" ht="15.75" customHeight="1">
      <c r="A200" s="20"/>
    </row>
    <row r="201" ht="15.75" customHeight="1">
      <c r="A201" s="20"/>
    </row>
    <row r="202" ht="15.75" customHeight="1">
      <c r="A202" s="20"/>
    </row>
    <row r="203" ht="15.75" customHeight="1">
      <c r="A203" s="20"/>
    </row>
    <row r="204" ht="15.75" customHeight="1">
      <c r="A204" s="20"/>
    </row>
    <row r="205" ht="15.75" customHeight="1">
      <c r="A205" s="20"/>
    </row>
    <row r="206" ht="15.75" customHeight="1">
      <c r="A206" s="20"/>
    </row>
    <row r="207" ht="15.75" customHeight="1">
      <c r="A207" s="20"/>
    </row>
    <row r="208" ht="15.75" customHeight="1">
      <c r="A208" s="20"/>
    </row>
    <row r="209" ht="15.75" customHeight="1">
      <c r="A209" s="20"/>
    </row>
    <row r="210" ht="15.75" customHeight="1">
      <c r="A210" s="20"/>
    </row>
    <row r="211" ht="15.75" customHeight="1">
      <c r="A211" s="20"/>
    </row>
    <row r="212" ht="15.75" customHeight="1">
      <c r="A212" s="20"/>
    </row>
    <row r="213" ht="15.75" customHeight="1">
      <c r="A213" s="20"/>
    </row>
    <row r="214" ht="15.75" customHeight="1">
      <c r="A214" s="20"/>
    </row>
    <row r="215" ht="15.75" customHeight="1">
      <c r="A215" s="20"/>
    </row>
    <row r="216" ht="15.75" customHeight="1">
      <c r="A216" s="20"/>
    </row>
    <row r="217" ht="15.75" customHeight="1">
      <c r="A217" s="20"/>
    </row>
    <row r="218" ht="15.75" customHeight="1">
      <c r="A218" s="20"/>
    </row>
    <row r="219" ht="15.75" customHeight="1">
      <c r="A219" s="20"/>
    </row>
    <row r="220" ht="15.75" customHeight="1">
      <c r="A220" s="20"/>
    </row>
    <row r="221" ht="15.75" customHeight="1">
      <c r="A221" s="20"/>
    </row>
    <row r="222" ht="15.75" customHeight="1">
      <c r="A222" s="20"/>
    </row>
    <row r="223" ht="15.75" customHeight="1">
      <c r="A223" s="20"/>
    </row>
    <row r="224" ht="15.75" customHeight="1">
      <c r="A224" s="20"/>
    </row>
    <row r="225" ht="15.75" customHeight="1">
      <c r="A225" s="20"/>
    </row>
    <row r="226" ht="15.75" customHeight="1">
      <c r="A226" s="20"/>
    </row>
    <row r="227" ht="15.75" customHeight="1">
      <c r="A227" s="20"/>
    </row>
    <row r="228" ht="15.75" customHeight="1">
      <c r="A228" s="20"/>
    </row>
    <row r="229" ht="15.75" customHeight="1">
      <c r="A229" s="20"/>
    </row>
    <row r="230" ht="15.75" customHeight="1">
      <c r="A230" s="20"/>
    </row>
    <row r="231" ht="15.75" customHeight="1">
      <c r="A231" s="20"/>
    </row>
    <row r="232" ht="15.75" customHeight="1">
      <c r="A232" s="20"/>
    </row>
    <row r="233" ht="15.75" customHeight="1">
      <c r="A233" s="20"/>
    </row>
    <row r="234" ht="15.75" customHeight="1">
      <c r="A234" s="20"/>
    </row>
    <row r="235" ht="15.75" customHeight="1">
      <c r="A235" s="20"/>
    </row>
    <row r="236" ht="15.75" customHeight="1">
      <c r="A236" s="20"/>
    </row>
    <row r="237" ht="15.75" customHeight="1">
      <c r="A237" s="20"/>
    </row>
    <row r="238" ht="15.75" customHeight="1">
      <c r="A238" s="20"/>
    </row>
    <row r="239" ht="15.75" customHeight="1">
      <c r="A239" s="20"/>
    </row>
    <row r="240" ht="15.75" customHeight="1">
      <c r="A240" s="20"/>
    </row>
    <row r="241" ht="15.75" customHeight="1">
      <c r="A241" s="20"/>
    </row>
    <row r="242" ht="15.75" customHeight="1">
      <c r="A242" s="20"/>
    </row>
    <row r="243" ht="15.75" customHeight="1">
      <c r="A243" s="20"/>
    </row>
    <row r="244" ht="15.75" customHeight="1">
      <c r="A244" s="20"/>
    </row>
    <row r="245" ht="15.75" customHeight="1">
      <c r="A245" s="20"/>
    </row>
    <row r="246" ht="15.75" customHeight="1">
      <c r="A246" s="20"/>
    </row>
    <row r="247" ht="15.75" customHeight="1">
      <c r="A247" s="20"/>
    </row>
    <row r="248" ht="15.75" customHeight="1">
      <c r="A248" s="20"/>
    </row>
    <row r="249" ht="15.75" customHeight="1">
      <c r="A249" s="20"/>
    </row>
    <row r="250" ht="15.75" customHeight="1">
      <c r="A250" s="20"/>
    </row>
    <row r="251" ht="15.75" customHeight="1">
      <c r="A251" s="20"/>
    </row>
    <row r="252" ht="15.75" customHeight="1">
      <c r="A252" s="20"/>
    </row>
    <row r="253" ht="15.75" customHeight="1">
      <c r="A253" s="20"/>
    </row>
    <row r="254" ht="15.75" customHeight="1">
      <c r="A254" s="20"/>
    </row>
    <row r="255" ht="15.75" customHeight="1">
      <c r="A255" s="20"/>
    </row>
    <row r="256" ht="15.75" customHeight="1">
      <c r="A256" s="20"/>
    </row>
    <row r="257" ht="15.75" customHeight="1">
      <c r="A257" s="20"/>
    </row>
    <row r="258" ht="15.75" customHeight="1">
      <c r="A258" s="20"/>
    </row>
    <row r="259" ht="15.75" customHeight="1">
      <c r="A259" s="20"/>
    </row>
    <row r="260" ht="15.75" customHeight="1">
      <c r="A260" s="20"/>
    </row>
    <row r="261" ht="15.75" customHeight="1">
      <c r="A261" s="20"/>
    </row>
    <row r="262" ht="15.75" customHeight="1">
      <c r="A262" s="20"/>
    </row>
    <row r="263" ht="15.75" customHeight="1">
      <c r="A263" s="20"/>
    </row>
    <row r="264" ht="15.75" customHeight="1">
      <c r="A264" s="20"/>
    </row>
    <row r="265" ht="15.75" customHeight="1">
      <c r="A265" s="20"/>
    </row>
    <row r="266" ht="15.75" customHeight="1">
      <c r="A266" s="20"/>
    </row>
    <row r="267" ht="15.75" customHeight="1">
      <c r="A267" s="20"/>
    </row>
    <row r="268" ht="15.75" customHeight="1">
      <c r="A268" s="20"/>
    </row>
    <row r="269" ht="15.75" customHeight="1">
      <c r="A269" s="20"/>
    </row>
    <row r="270" ht="15.75" customHeight="1">
      <c r="A270" s="20"/>
    </row>
    <row r="271" ht="15.75" customHeight="1">
      <c r="A271" s="20"/>
    </row>
    <row r="272" ht="15.75" customHeight="1">
      <c r="A272" s="20"/>
    </row>
    <row r="273" ht="15.75" customHeight="1">
      <c r="A273" s="20"/>
    </row>
    <row r="274" ht="15.75" customHeight="1">
      <c r="A274" s="20"/>
    </row>
    <row r="275" ht="15.75" customHeight="1">
      <c r="A275" s="20"/>
    </row>
    <row r="276" ht="15.75" customHeight="1">
      <c r="A276" s="20"/>
    </row>
    <row r="277" ht="15.75" customHeight="1">
      <c r="A277" s="20"/>
    </row>
    <row r="278" ht="15.75" customHeight="1">
      <c r="A278" s="20"/>
    </row>
    <row r="279" ht="15.75" customHeight="1">
      <c r="A279" s="20"/>
    </row>
    <row r="280" ht="15.75" customHeight="1">
      <c r="A280" s="20"/>
    </row>
    <row r="281" ht="15.75" customHeight="1">
      <c r="A281" s="20"/>
    </row>
    <row r="282" ht="15.75" customHeight="1">
      <c r="A282" s="20"/>
    </row>
    <row r="283" ht="15.75" customHeight="1">
      <c r="A283" s="20"/>
    </row>
    <row r="284" ht="15.75" customHeight="1">
      <c r="A284" s="20"/>
    </row>
    <row r="285" ht="15.75" customHeight="1">
      <c r="A285" s="20"/>
    </row>
    <row r="286" ht="15.75" customHeight="1">
      <c r="A286" s="20"/>
    </row>
    <row r="287" ht="15.75" customHeight="1">
      <c r="A287" s="20"/>
    </row>
    <row r="288" ht="15.75" customHeight="1">
      <c r="A288" s="20"/>
    </row>
    <row r="289" ht="15.75" customHeight="1">
      <c r="A289" s="20"/>
    </row>
    <row r="290" ht="15.75" customHeight="1">
      <c r="A290" s="20"/>
    </row>
    <row r="291" ht="15.75" customHeight="1">
      <c r="A291" s="20"/>
    </row>
    <row r="292" ht="15.75" customHeight="1">
      <c r="A292" s="20"/>
    </row>
    <row r="293" ht="15.75" customHeight="1">
      <c r="A293" s="20"/>
    </row>
    <row r="294" ht="15.75" customHeight="1">
      <c r="A294" s="20"/>
    </row>
    <row r="295" ht="15.75" customHeight="1">
      <c r="A295" s="20"/>
    </row>
    <row r="296" ht="15.75" customHeight="1">
      <c r="A296" s="20"/>
    </row>
    <row r="297" ht="15.75" customHeight="1">
      <c r="A297" s="20"/>
    </row>
    <row r="298" ht="15.75" customHeight="1">
      <c r="A298" s="20"/>
    </row>
    <row r="299" ht="15.75" customHeight="1">
      <c r="A299" s="20"/>
    </row>
    <row r="300" ht="15.75" customHeight="1">
      <c r="A300" s="20"/>
    </row>
    <row r="301" ht="15.75" customHeight="1">
      <c r="A301" s="20"/>
    </row>
    <row r="302" ht="15.75" customHeight="1">
      <c r="A302" s="20"/>
    </row>
    <row r="303" ht="15.75" customHeight="1">
      <c r="A303" s="20"/>
    </row>
    <row r="304" ht="15.75" customHeight="1">
      <c r="A304" s="20"/>
    </row>
    <row r="305" ht="15.75" customHeight="1">
      <c r="A305" s="20"/>
    </row>
    <row r="306" ht="15.75" customHeight="1">
      <c r="A306" s="20"/>
    </row>
    <row r="307" ht="15.75" customHeight="1">
      <c r="A307" s="20"/>
    </row>
    <row r="308" ht="15.75" customHeight="1">
      <c r="A308" s="20"/>
    </row>
    <row r="309" ht="15.75" customHeight="1">
      <c r="A309" s="20"/>
    </row>
    <row r="310" ht="15.75" customHeight="1">
      <c r="A310" s="20"/>
    </row>
    <row r="311" ht="15.75" customHeight="1">
      <c r="A311" s="20"/>
    </row>
    <row r="312" ht="15.75" customHeight="1">
      <c r="A312" s="20"/>
    </row>
    <row r="313" ht="15.75" customHeight="1">
      <c r="A313" s="20"/>
    </row>
    <row r="314" ht="15.75" customHeight="1">
      <c r="A314" s="20"/>
    </row>
    <row r="315" ht="15.75" customHeight="1">
      <c r="A315" s="20"/>
    </row>
    <row r="316" ht="15.75" customHeight="1">
      <c r="A316" s="20"/>
    </row>
    <row r="317" ht="15.75" customHeight="1">
      <c r="A317" s="20"/>
    </row>
    <row r="318" ht="15.75" customHeight="1">
      <c r="A318" s="20"/>
    </row>
    <row r="319" ht="15.75" customHeight="1">
      <c r="A319" s="20"/>
    </row>
    <row r="320" ht="15.75" customHeight="1">
      <c r="A320" s="20"/>
    </row>
    <row r="321" ht="15.75" customHeight="1">
      <c r="A321" s="20"/>
    </row>
    <row r="322" ht="15.75" customHeight="1">
      <c r="A322" s="20"/>
    </row>
    <row r="323" ht="15.75" customHeight="1">
      <c r="A323" s="20"/>
    </row>
    <row r="324" ht="15.75" customHeight="1">
      <c r="A324" s="20"/>
    </row>
    <row r="325" ht="15.75" customHeight="1">
      <c r="A325" s="20"/>
    </row>
    <row r="326" ht="15.75" customHeight="1">
      <c r="A326" s="20"/>
    </row>
    <row r="327" ht="15.75" customHeight="1">
      <c r="A327" s="20"/>
    </row>
    <row r="328" ht="15.75" customHeight="1">
      <c r="A328" s="20"/>
    </row>
    <row r="329" ht="15.75" customHeight="1">
      <c r="A329" s="20"/>
    </row>
    <row r="330" ht="15.75" customHeight="1">
      <c r="A330" s="20"/>
    </row>
    <row r="331" ht="15.75" customHeight="1">
      <c r="A331" s="20"/>
    </row>
    <row r="332" ht="15.75" customHeight="1">
      <c r="A332" s="20"/>
    </row>
    <row r="333" ht="15.75" customHeight="1">
      <c r="A333" s="20"/>
    </row>
    <row r="334" ht="15.75" customHeight="1">
      <c r="A334" s="20"/>
    </row>
    <row r="335" ht="15.75" customHeight="1">
      <c r="A335" s="20"/>
    </row>
    <row r="336" ht="15.75" customHeight="1">
      <c r="A336" s="20"/>
    </row>
    <row r="337" ht="15.75" customHeight="1">
      <c r="A337" s="20"/>
    </row>
    <row r="338" ht="15.75" customHeight="1">
      <c r="A338" s="20"/>
    </row>
    <row r="339" ht="15.75" customHeight="1">
      <c r="A339" s="20"/>
    </row>
    <row r="340" ht="15.75" customHeight="1">
      <c r="A340" s="20"/>
    </row>
    <row r="341" ht="15.75" customHeight="1">
      <c r="A341" s="20"/>
    </row>
    <row r="342" ht="15.75" customHeight="1">
      <c r="A342" s="20"/>
    </row>
    <row r="343" ht="15.75" customHeight="1">
      <c r="A343" s="20"/>
    </row>
    <row r="344" ht="15.75" customHeight="1">
      <c r="A344" s="20"/>
    </row>
    <row r="345" ht="15.75" customHeight="1">
      <c r="A345" s="20"/>
    </row>
    <row r="346" ht="15.75" customHeight="1">
      <c r="A346" s="20"/>
    </row>
    <row r="347" ht="15.75" customHeight="1">
      <c r="A347" s="20"/>
    </row>
    <row r="348" ht="15.75" customHeight="1">
      <c r="A348" s="20"/>
    </row>
    <row r="349" ht="15.75" customHeight="1">
      <c r="A349" s="20"/>
    </row>
    <row r="350" ht="15.75" customHeight="1">
      <c r="A350" s="20"/>
    </row>
    <row r="351" ht="15.75" customHeight="1">
      <c r="A351" s="20"/>
    </row>
    <row r="352" ht="15.75" customHeight="1">
      <c r="A352" s="20"/>
    </row>
    <row r="353" ht="15.75" customHeight="1">
      <c r="A353" s="20"/>
    </row>
    <row r="354" ht="15.75" customHeight="1">
      <c r="A354" s="20"/>
    </row>
    <row r="355" ht="15.75" customHeight="1">
      <c r="A355" s="20"/>
    </row>
    <row r="356" ht="15.75" customHeight="1">
      <c r="A356" s="20"/>
    </row>
    <row r="357" ht="15.75" customHeight="1">
      <c r="A357" s="20"/>
    </row>
    <row r="358" ht="15.75" customHeight="1">
      <c r="A358" s="20"/>
    </row>
    <row r="359" ht="15.75" customHeight="1">
      <c r="A359" s="20"/>
    </row>
    <row r="360" ht="15.75" customHeight="1">
      <c r="A360" s="20"/>
    </row>
    <row r="361" ht="15.75" customHeight="1">
      <c r="A361" s="20"/>
    </row>
    <row r="362" ht="15.75" customHeight="1">
      <c r="A362" s="20"/>
    </row>
    <row r="363" ht="15.75" customHeight="1">
      <c r="A363" s="20"/>
    </row>
    <row r="364" ht="15.75" customHeight="1">
      <c r="A364" s="20"/>
    </row>
    <row r="365" ht="15.75" customHeight="1">
      <c r="A365" s="20"/>
    </row>
    <row r="366" ht="15.75" customHeight="1">
      <c r="A366" s="20"/>
    </row>
    <row r="367" ht="15.75" customHeight="1">
      <c r="A367" s="20"/>
    </row>
    <row r="368" ht="15.75" customHeight="1">
      <c r="A368" s="20"/>
    </row>
    <row r="369" ht="15.75" customHeight="1">
      <c r="A369" s="20"/>
    </row>
    <row r="370" ht="15.75" customHeight="1">
      <c r="A370" s="20"/>
    </row>
    <row r="371" ht="15.75" customHeight="1">
      <c r="A371" s="20"/>
    </row>
    <row r="372" ht="15.75" customHeight="1">
      <c r="A372" s="20"/>
    </row>
    <row r="373" ht="15.75" customHeight="1">
      <c r="A373" s="20"/>
    </row>
    <row r="374" ht="15.75" customHeight="1">
      <c r="A374" s="20"/>
    </row>
    <row r="375" ht="15.75" customHeight="1">
      <c r="A375" s="20"/>
    </row>
    <row r="376" ht="15.75" customHeight="1">
      <c r="A376" s="20"/>
    </row>
    <row r="377" ht="15.75" customHeight="1">
      <c r="A377" s="20"/>
    </row>
    <row r="378" ht="15.75" customHeight="1">
      <c r="A378" s="20"/>
    </row>
    <row r="379" ht="15.75" customHeight="1">
      <c r="A379" s="20"/>
    </row>
    <row r="380" ht="15.75" customHeight="1">
      <c r="A380" s="20"/>
    </row>
    <row r="381" ht="15.75" customHeight="1">
      <c r="A381" s="20"/>
    </row>
    <row r="382" ht="15.75" customHeight="1">
      <c r="A382" s="20"/>
    </row>
    <row r="383" ht="15.75" customHeight="1">
      <c r="A383" s="20"/>
    </row>
    <row r="384" ht="15.75" customHeight="1">
      <c r="A384" s="20"/>
    </row>
    <row r="385" ht="15.75" customHeight="1">
      <c r="A385" s="20"/>
    </row>
    <row r="386" ht="15.75" customHeight="1">
      <c r="A386" s="20"/>
    </row>
    <row r="387" ht="15.75" customHeight="1">
      <c r="A387" s="20"/>
    </row>
    <row r="388" ht="15.75" customHeight="1">
      <c r="A388" s="20"/>
    </row>
    <row r="389" ht="15.75" customHeight="1">
      <c r="A389" s="20"/>
    </row>
    <row r="390" ht="15.75" customHeight="1">
      <c r="A390" s="20"/>
    </row>
    <row r="391" ht="15.75" customHeight="1">
      <c r="A391" s="20"/>
    </row>
    <row r="392" ht="15.75" customHeight="1">
      <c r="A392" s="20"/>
    </row>
    <row r="393" ht="15.75" customHeight="1">
      <c r="A393" s="20"/>
    </row>
    <row r="394" ht="15.75" customHeight="1">
      <c r="A394" s="20"/>
    </row>
    <row r="395" ht="15.75" customHeight="1">
      <c r="A395" s="20"/>
    </row>
    <row r="396" ht="15.75" customHeight="1">
      <c r="A396" s="20"/>
    </row>
    <row r="397" ht="15.75" customHeight="1">
      <c r="A397" s="20"/>
    </row>
    <row r="398" ht="15.75" customHeight="1">
      <c r="A398" s="20"/>
    </row>
    <row r="399" ht="15.75" customHeight="1">
      <c r="A399" s="20"/>
    </row>
    <row r="400" ht="15.75" customHeight="1">
      <c r="A400" s="20"/>
    </row>
    <row r="401" ht="15.75" customHeight="1">
      <c r="A401" s="20"/>
    </row>
    <row r="402" ht="15.75" customHeight="1">
      <c r="A402" s="20"/>
    </row>
    <row r="403" ht="15.75" customHeight="1">
      <c r="A403" s="20"/>
    </row>
    <row r="404" ht="15.75" customHeight="1">
      <c r="A404" s="20"/>
    </row>
    <row r="405" ht="15.75" customHeight="1">
      <c r="A405" s="20"/>
    </row>
    <row r="406" ht="15.75" customHeight="1">
      <c r="A406" s="20"/>
    </row>
    <row r="407" ht="15.75" customHeight="1">
      <c r="A407" s="20"/>
    </row>
    <row r="408" ht="15.75" customHeight="1">
      <c r="A408" s="20"/>
    </row>
    <row r="409" ht="15.75" customHeight="1">
      <c r="A409" s="20"/>
    </row>
    <row r="410" ht="15.75" customHeight="1">
      <c r="A410" s="20"/>
    </row>
    <row r="411" ht="15.75" customHeight="1">
      <c r="A411" s="20"/>
    </row>
    <row r="412" ht="15.75" customHeight="1">
      <c r="A412" s="20"/>
    </row>
    <row r="413" ht="15.75" customHeight="1">
      <c r="A413" s="20"/>
    </row>
    <row r="414" ht="15.75" customHeight="1">
      <c r="A414" s="20"/>
    </row>
    <row r="415" ht="15.75" customHeight="1">
      <c r="A415" s="20"/>
    </row>
    <row r="416" ht="15.75" customHeight="1">
      <c r="A416" s="20"/>
    </row>
    <row r="417" ht="15.75" customHeight="1">
      <c r="A417" s="20"/>
    </row>
    <row r="418" ht="15.75" customHeight="1">
      <c r="A418" s="20"/>
    </row>
    <row r="419" ht="15.75" customHeight="1">
      <c r="A419" s="20"/>
    </row>
    <row r="420" ht="15.75" customHeight="1">
      <c r="A420" s="20"/>
    </row>
    <row r="421" ht="15.75" customHeight="1">
      <c r="A421" s="20"/>
    </row>
    <row r="422" ht="15.75" customHeight="1">
      <c r="A422" s="20"/>
    </row>
    <row r="423" ht="15.75" customHeight="1">
      <c r="A423" s="20"/>
    </row>
    <row r="424" ht="15.75" customHeight="1">
      <c r="A424" s="20"/>
    </row>
    <row r="425" ht="15.75" customHeight="1">
      <c r="A425" s="20"/>
    </row>
    <row r="426" ht="15.75" customHeight="1">
      <c r="A426" s="20"/>
    </row>
    <row r="427" ht="15.75" customHeight="1">
      <c r="A427" s="20"/>
    </row>
    <row r="428" ht="15.75" customHeight="1">
      <c r="A428" s="20"/>
    </row>
    <row r="429" ht="15.75" customHeight="1">
      <c r="A429" s="20"/>
    </row>
    <row r="430" ht="15.75" customHeight="1">
      <c r="A430" s="20"/>
    </row>
    <row r="431" ht="15.75" customHeight="1">
      <c r="A431" s="20"/>
    </row>
    <row r="432" ht="15.75" customHeight="1">
      <c r="A432" s="20"/>
    </row>
    <row r="433" ht="15.75" customHeight="1">
      <c r="A433" s="20"/>
    </row>
    <row r="434" ht="15.75" customHeight="1">
      <c r="A434" s="20"/>
    </row>
    <row r="435" ht="15.75" customHeight="1">
      <c r="A435" s="20"/>
    </row>
    <row r="436" ht="15.75" customHeight="1">
      <c r="A436" s="20"/>
    </row>
    <row r="437" ht="15.75" customHeight="1">
      <c r="A437" s="20"/>
    </row>
    <row r="438" ht="15.75" customHeight="1">
      <c r="A438" s="20"/>
    </row>
    <row r="439" ht="15.75" customHeight="1">
      <c r="A439" s="20"/>
    </row>
    <row r="440" ht="15.75" customHeight="1">
      <c r="A440" s="20"/>
    </row>
    <row r="441" ht="15.75" customHeight="1">
      <c r="A441" s="20"/>
    </row>
    <row r="442" ht="15.75" customHeight="1">
      <c r="A442" s="20"/>
    </row>
    <row r="443" ht="15.75" customHeight="1">
      <c r="A443" s="20"/>
    </row>
    <row r="444" ht="15.75" customHeight="1">
      <c r="A444" s="20"/>
    </row>
    <row r="445" ht="15.75" customHeight="1">
      <c r="A445" s="20"/>
    </row>
    <row r="446" ht="15.75" customHeight="1">
      <c r="A446" s="20"/>
    </row>
    <row r="447" ht="15.75" customHeight="1">
      <c r="A447" s="20"/>
    </row>
    <row r="448" ht="15.75" customHeight="1">
      <c r="A448" s="20"/>
    </row>
    <row r="449" ht="15.75" customHeight="1">
      <c r="A449" s="20"/>
    </row>
    <row r="450" ht="15.75" customHeight="1">
      <c r="A450" s="20"/>
    </row>
    <row r="451" ht="15.75" customHeight="1">
      <c r="A451" s="20"/>
    </row>
    <row r="452" ht="15.75" customHeight="1">
      <c r="A452" s="20"/>
    </row>
    <row r="453" ht="15.75" customHeight="1">
      <c r="A453" s="20"/>
    </row>
    <row r="454" ht="15.75" customHeight="1">
      <c r="A454" s="20"/>
    </row>
    <row r="455" ht="15.75" customHeight="1">
      <c r="A455" s="20"/>
    </row>
    <row r="456" ht="15.75" customHeight="1">
      <c r="A456" s="20"/>
    </row>
    <row r="457" ht="15.75" customHeight="1">
      <c r="A457" s="20"/>
    </row>
    <row r="458" ht="15.75" customHeight="1">
      <c r="A458" s="20"/>
    </row>
    <row r="459" ht="15.75" customHeight="1">
      <c r="A459" s="20"/>
    </row>
    <row r="460" ht="15.75" customHeight="1">
      <c r="A460" s="20"/>
    </row>
    <row r="461" ht="15.75" customHeight="1">
      <c r="A461" s="20"/>
    </row>
    <row r="462" ht="15.75" customHeight="1">
      <c r="A462" s="20"/>
    </row>
    <row r="463" ht="15.75" customHeight="1">
      <c r="A463" s="20"/>
    </row>
    <row r="464" ht="15.75" customHeight="1">
      <c r="A464" s="20"/>
    </row>
    <row r="465" ht="15.75" customHeight="1">
      <c r="A465" s="20"/>
    </row>
    <row r="466" ht="15.75" customHeight="1">
      <c r="A466" s="20"/>
    </row>
    <row r="467" ht="15.75" customHeight="1">
      <c r="A467" s="20"/>
    </row>
    <row r="468" ht="15.75" customHeight="1">
      <c r="A468" s="20"/>
    </row>
    <row r="469" ht="15.75" customHeight="1">
      <c r="A469" s="20"/>
    </row>
    <row r="470" ht="15.75" customHeight="1">
      <c r="A470" s="20"/>
    </row>
    <row r="471" ht="15.75" customHeight="1">
      <c r="A471" s="20"/>
    </row>
    <row r="472" ht="15.75" customHeight="1">
      <c r="A472" s="20"/>
    </row>
    <row r="473" ht="15.75" customHeight="1">
      <c r="A473" s="20"/>
    </row>
    <row r="474" ht="15.75" customHeight="1">
      <c r="A474" s="20"/>
    </row>
    <row r="475" ht="15.75" customHeight="1">
      <c r="A475" s="20"/>
    </row>
    <row r="476" ht="15.75" customHeight="1">
      <c r="A476" s="20"/>
    </row>
    <row r="477" ht="15.75" customHeight="1">
      <c r="A477" s="20"/>
    </row>
    <row r="478" ht="15.75" customHeight="1">
      <c r="A478" s="20"/>
    </row>
    <row r="479" ht="15.75" customHeight="1">
      <c r="A479" s="20"/>
    </row>
    <row r="480" ht="15.75" customHeight="1">
      <c r="A480" s="20"/>
    </row>
    <row r="481" ht="15.75" customHeight="1">
      <c r="A481" s="20"/>
    </row>
    <row r="482" ht="15.75" customHeight="1">
      <c r="A482" s="20"/>
    </row>
    <row r="483" ht="15.75" customHeight="1">
      <c r="A483" s="20"/>
    </row>
    <row r="484" ht="15.75" customHeight="1">
      <c r="A484" s="20"/>
    </row>
    <row r="485" ht="15.75" customHeight="1">
      <c r="A485" s="20"/>
    </row>
    <row r="486" ht="15.75" customHeight="1">
      <c r="A486" s="20"/>
    </row>
    <row r="487" ht="15.75" customHeight="1">
      <c r="A487" s="20"/>
    </row>
    <row r="488" ht="15.75" customHeight="1">
      <c r="A488" s="20"/>
    </row>
    <row r="489" ht="15.75" customHeight="1">
      <c r="A489" s="20"/>
    </row>
    <row r="490" ht="15.75" customHeight="1">
      <c r="A490" s="20"/>
    </row>
    <row r="491" ht="15.75" customHeight="1">
      <c r="A491" s="20"/>
    </row>
    <row r="492" ht="15.75" customHeight="1">
      <c r="A492" s="20"/>
    </row>
    <row r="493" ht="15.75" customHeight="1">
      <c r="A493" s="20"/>
    </row>
    <row r="494" ht="15.75" customHeight="1">
      <c r="A494" s="20"/>
    </row>
    <row r="495" ht="15.75" customHeight="1">
      <c r="A495" s="20"/>
    </row>
    <row r="496" ht="15.75" customHeight="1">
      <c r="A496" s="20"/>
    </row>
    <row r="497" ht="15.75" customHeight="1">
      <c r="A497" s="20"/>
    </row>
    <row r="498" ht="15.75" customHeight="1">
      <c r="A498" s="20"/>
    </row>
    <row r="499" ht="15.75" customHeight="1">
      <c r="A499" s="20"/>
    </row>
    <row r="500" ht="15.75" customHeight="1">
      <c r="A500" s="20"/>
    </row>
    <row r="501" ht="15.75" customHeight="1">
      <c r="A501" s="20"/>
    </row>
    <row r="502" ht="15.75" customHeight="1">
      <c r="A502" s="20"/>
    </row>
    <row r="503" ht="15.75" customHeight="1">
      <c r="A503" s="20"/>
    </row>
    <row r="504" ht="15.75" customHeight="1">
      <c r="A504" s="20"/>
    </row>
    <row r="505" ht="15.75" customHeight="1">
      <c r="A505" s="20"/>
    </row>
    <row r="506" ht="15.75" customHeight="1">
      <c r="A506" s="20"/>
    </row>
    <row r="507" ht="15.75" customHeight="1">
      <c r="A507" s="20"/>
    </row>
    <row r="508" ht="15.75" customHeight="1">
      <c r="A508" s="20"/>
    </row>
    <row r="509" ht="15.75" customHeight="1">
      <c r="A509" s="20"/>
    </row>
    <row r="510" ht="15.75" customHeight="1">
      <c r="A510" s="20"/>
    </row>
    <row r="511" ht="15.75" customHeight="1">
      <c r="A511" s="20"/>
    </row>
    <row r="512" ht="15.75" customHeight="1">
      <c r="A512" s="20"/>
    </row>
    <row r="513" ht="15.75" customHeight="1">
      <c r="A513" s="20"/>
    </row>
    <row r="514" ht="15.75" customHeight="1">
      <c r="A514" s="20"/>
    </row>
    <row r="515" ht="15.75" customHeight="1">
      <c r="A515" s="20"/>
    </row>
    <row r="516" ht="15.75" customHeight="1">
      <c r="A516" s="20"/>
    </row>
    <row r="517" ht="15.75" customHeight="1">
      <c r="A517" s="20"/>
    </row>
    <row r="518" ht="15.75" customHeight="1">
      <c r="A518" s="20"/>
    </row>
    <row r="519" ht="15.75" customHeight="1">
      <c r="A519" s="20"/>
    </row>
    <row r="520" ht="15.75" customHeight="1">
      <c r="A520" s="20"/>
    </row>
    <row r="521" ht="15.75" customHeight="1">
      <c r="A521" s="20"/>
    </row>
    <row r="522" ht="15.75" customHeight="1">
      <c r="A522" s="20"/>
    </row>
    <row r="523" ht="15.75" customHeight="1">
      <c r="A523" s="20"/>
    </row>
    <row r="524" ht="15.75" customHeight="1">
      <c r="A524" s="20"/>
    </row>
    <row r="525" ht="15.75" customHeight="1">
      <c r="A525" s="20"/>
    </row>
    <row r="526" ht="15.75" customHeight="1">
      <c r="A526" s="20"/>
    </row>
    <row r="527" ht="15.75" customHeight="1">
      <c r="A527" s="20"/>
    </row>
    <row r="528" ht="15.75" customHeight="1">
      <c r="A528" s="20"/>
    </row>
    <row r="529" ht="15.75" customHeight="1">
      <c r="A529" s="20"/>
    </row>
    <row r="530" ht="15.75" customHeight="1">
      <c r="A530" s="20"/>
    </row>
    <row r="531" ht="15.75" customHeight="1">
      <c r="A531" s="20"/>
    </row>
    <row r="532" ht="15.75" customHeight="1">
      <c r="A532" s="20"/>
    </row>
    <row r="533" ht="15.75" customHeight="1">
      <c r="A533" s="20"/>
    </row>
    <row r="534" ht="15.75" customHeight="1">
      <c r="A534" s="20"/>
    </row>
    <row r="535" ht="15.75" customHeight="1">
      <c r="A535" s="20"/>
    </row>
    <row r="536" ht="15.75" customHeight="1">
      <c r="A536" s="20"/>
    </row>
    <row r="537" ht="15.75" customHeight="1">
      <c r="A537" s="20"/>
    </row>
    <row r="538" ht="15.75" customHeight="1">
      <c r="A538" s="20"/>
    </row>
    <row r="539" ht="15.75" customHeight="1">
      <c r="A539" s="20"/>
    </row>
    <row r="540" ht="15.75" customHeight="1">
      <c r="A540" s="20"/>
    </row>
    <row r="541" ht="15.75" customHeight="1">
      <c r="A541" s="20"/>
    </row>
    <row r="542" ht="15.75" customHeight="1">
      <c r="A542" s="20"/>
    </row>
    <row r="543" ht="15.75" customHeight="1">
      <c r="A543" s="20"/>
    </row>
    <row r="544" ht="15.75" customHeight="1">
      <c r="A544" s="20"/>
    </row>
    <row r="545" ht="15.75" customHeight="1">
      <c r="A545" s="20"/>
    </row>
    <row r="546" ht="15.75" customHeight="1">
      <c r="A546" s="20"/>
    </row>
    <row r="547" ht="15.75" customHeight="1">
      <c r="A547" s="20"/>
    </row>
    <row r="548" ht="15.75" customHeight="1">
      <c r="A548" s="20"/>
    </row>
    <row r="549" ht="15.75" customHeight="1">
      <c r="A549" s="20"/>
    </row>
    <row r="550" ht="15.75" customHeight="1">
      <c r="A550" s="20"/>
    </row>
    <row r="551" ht="15.75" customHeight="1">
      <c r="A551" s="20"/>
    </row>
    <row r="552" ht="15.75" customHeight="1">
      <c r="A552" s="20"/>
    </row>
    <row r="553" ht="15.75" customHeight="1">
      <c r="A553" s="20"/>
    </row>
    <row r="554" ht="15.75" customHeight="1">
      <c r="A554" s="20"/>
    </row>
    <row r="555" ht="15.75" customHeight="1">
      <c r="A555" s="20"/>
    </row>
    <row r="556" ht="15.75" customHeight="1">
      <c r="A556" s="20"/>
    </row>
    <row r="557" ht="15.75" customHeight="1">
      <c r="A557" s="20"/>
    </row>
    <row r="558" ht="15.75" customHeight="1">
      <c r="A558" s="20"/>
    </row>
    <row r="559" ht="15.75" customHeight="1">
      <c r="A559" s="20"/>
    </row>
    <row r="560" ht="15.75" customHeight="1">
      <c r="A560" s="20"/>
    </row>
    <row r="561" ht="15.75" customHeight="1">
      <c r="A561" s="20"/>
    </row>
    <row r="562" ht="15.75" customHeight="1">
      <c r="A562" s="20"/>
    </row>
    <row r="563" ht="15.75" customHeight="1">
      <c r="A563" s="20"/>
    </row>
    <row r="564" ht="15.75" customHeight="1">
      <c r="A564" s="20"/>
    </row>
    <row r="565" ht="15.75" customHeight="1">
      <c r="A565" s="20"/>
    </row>
    <row r="566" ht="15.75" customHeight="1">
      <c r="A566" s="20"/>
    </row>
    <row r="567" ht="15.75" customHeight="1">
      <c r="A567" s="20"/>
    </row>
    <row r="568" ht="15.75" customHeight="1">
      <c r="A568" s="20"/>
    </row>
    <row r="569" ht="15.75" customHeight="1">
      <c r="A569" s="20"/>
    </row>
    <row r="570" ht="15.75" customHeight="1">
      <c r="A570" s="20"/>
    </row>
    <row r="571" ht="15.75" customHeight="1">
      <c r="A571" s="20"/>
    </row>
    <row r="572" ht="15.75" customHeight="1">
      <c r="A572" s="20"/>
    </row>
    <row r="573" ht="15.75" customHeight="1">
      <c r="A573" s="20"/>
    </row>
    <row r="574" ht="15.75" customHeight="1">
      <c r="A574" s="20"/>
    </row>
    <row r="575" ht="15.75" customHeight="1">
      <c r="A575" s="20"/>
    </row>
    <row r="576" ht="15.75" customHeight="1">
      <c r="A576" s="20"/>
    </row>
    <row r="577" ht="15.75" customHeight="1">
      <c r="A577" s="20"/>
    </row>
    <row r="578" ht="15.75" customHeight="1">
      <c r="A578" s="20"/>
    </row>
    <row r="579" ht="15.75" customHeight="1">
      <c r="A579" s="20"/>
    </row>
    <row r="580" ht="15.75" customHeight="1">
      <c r="A580" s="20"/>
    </row>
    <row r="581" ht="15.75" customHeight="1">
      <c r="A581" s="20"/>
    </row>
    <row r="582" ht="15.75" customHeight="1">
      <c r="A582" s="20"/>
    </row>
    <row r="583" ht="15.75" customHeight="1">
      <c r="A583" s="20"/>
    </row>
    <row r="584" ht="15.75" customHeight="1">
      <c r="A584" s="20"/>
    </row>
    <row r="585" ht="15.75" customHeight="1">
      <c r="A585" s="20"/>
    </row>
    <row r="586" ht="15.75" customHeight="1">
      <c r="A586" s="20"/>
    </row>
    <row r="587" ht="15.75" customHeight="1">
      <c r="A587" s="20"/>
    </row>
    <row r="588" ht="15.75" customHeight="1">
      <c r="A588" s="20"/>
    </row>
    <row r="589" ht="15.75" customHeight="1">
      <c r="A589" s="20"/>
    </row>
    <row r="590" ht="15.75" customHeight="1">
      <c r="A590" s="20"/>
    </row>
    <row r="591" ht="15.75" customHeight="1">
      <c r="A591" s="20"/>
    </row>
    <row r="592" ht="15.75" customHeight="1">
      <c r="A592" s="20"/>
    </row>
    <row r="593" ht="15.75" customHeight="1">
      <c r="A593" s="20"/>
    </row>
    <row r="594" ht="15.75" customHeight="1">
      <c r="A594" s="20"/>
    </row>
    <row r="595" ht="15.75" customHeight="1">
      <c r="A595" s="20"/>
    </row>
    <row r="596" ht="15.75" customHeight="1">
      <c r="A596" s="20"/>
    </row>
    <row r="597" ht="15.75" customHeight="1">
      <c r="A597" s="20"/>
    </row>
    <row r="598" ht="15.75" customHeight="1">
      <c r="A598" s="20"/>
    </row>
    <row r="599" ht="15.75" customHeight="1">
      <c r="A599" s="20"/>
    </row>
    <row r="600" ht="15.75" customHeight="1">
      <c r="A600" s="20"/>
    </row>
    <row r="601" ht="15.75" customHeight="1">
      <c r="A601" s="20"/>
    </row>
    <row r="602" ht="15.75" customHeight="1">
      <c r="A602" s="20"/>
    </row>
    <row r="603" ht="15.75" customHeight="1">
      <c r="A603" s="20"/>
    </row>
    <row r="604" ht="15.75" customHeight="1">
      <c r="A604" s="20"/>
    </row>
    <row r="605" ht="15.75" customHeight="1">
      <c r="A605" s="20"/>
    </row>
    <row r="606" ht="15.75" customHeight="1">
      <c r="A606" s="20"/>
    </row>
    <row r="607" ht="15.75" customHeight="1">
      <c r="A607" s="20"/>
    </row>
    <row r="608" ht="15.75" customHeight="1">
      <c r="A608" s="20"/>
    </row>
    <row r="609" ht="15.75" customHeight="1">
      <c r="A609" s="20"/>
    </row>
    <row r="610" ht="15.75" customHeight="1">
      <c r="A610" s="20"/>
    </row>
    <row r="611" ht="15.75" customHeight="1">
      <c r="A611" s="20"/>
    </row>
    <row r="612" ht="15.75" customHeight="1">
      <c r="A612" s="20"/>
    </row>
    <row r="613" ht="15.75" customHeight="1">
      <c r="A613" s="20"/>
    </row>
    <row r="614" ht="15.75" customHeight="1">
      <c r="A614" s="20"/>
    </row>
    <row r="615" ht="15.75" customHeight="1">
      <c r="A615" s="20"/>
    </row>
    <row r="616" ht="15.75" customHeight="1">
      <c r="A616" s="20"/>
    </row>
    <row r="617" ht="15.75" customHeight="1">
      <c r="A617" s="20"/>
    </row>
    <row r="618" ht="15.75" customHeight="1">
      <c r="A618" s="20"/>
    </row>
    <row r="619" ht="15.75" customHeight="1">
      <c r="A619" s="20"/>
    </row>
    <row r="620" ht="15.75" customHeight="1">
      <c r="A620" s="20"/>
    </row>
    <row r="621" ht="15.75" customHeight="1">
      <c r="A621" s="20"/>
    </row>
    <row r="622" ht="15.75" customHeight="1">
      <c r="A622" s="20"/>
    </row>
    <row r="623" ht="15.75" customHeight="1">
      <c r="A623" s="20"/>
    </row>
    <row r="624" ht="15.75" customHeight="1">
      <c r="A624" s="20"/>
    </row>
    <row r="625" ht="15.75" customHeight="1">
      <c r="A625" s="20"/>
    </row>
    <row r="626" ht="15.75" customHeight="1">
      <c r="A626" s="20"/>
    </row>
    <row r="627" ht="15.75" customHeight="1">
      <c r="A627" s="20"/>
    </row>
    <row r="628" ht="15.75" customHeight="1">
      <c r="A628" s="20"/>
    </row>
    <row r="629" ht="15.75" customHeight="1">
      <c r="A629" s="20"/>
    </row>
    <row r="630" ht="15.75" customHeight="1">
      <c r="A630" s="20"/>
    </row>
    <row r="631" ht="15.75" customHeight="1">
      <c r="A631" s="20"/>
    </row>
    <row r="632" ht="15.75" customHeight="1">
      <c r="A632" s="20"/>
    </row>
    <row r="633" ht="15.75" customHeight="1">
      <c r="A633" s="20"/>
    </row>
    <row r="634" ht="15.75" customHeight="1">
      <c r="A634" s="20"/>
    </row>
    <row r="635" ht="15.75" customHeight="1">
      <c r="A635" s="20"/>
    </row>
    <row r="636" ht="15.75" customHeight="1">
      <c r="A636" s="20"/>
    </row>
    <row r="637" ht="15.75" customHeight="1">
      <c r="A637" s="20"/>
    </row>
    <row r="638" ht="15.75" customHeight="1">
      <c r="A638" s="20"/>
    </row>
    <row r="639" ht="15.75" customHeight="1">
      <c r="A639" s="20"/>
    </row>
    <row r="640" ht="15.75" customHeight="1">
      <c r="A640" s="20"/>
    </row>
    <row r="641" ht="15.75" customHeight="1">
      <c r="A641" s="20"/>
    </row>
    <row r="642" ht="15.75" customHeight="1">
      <c r="A642" s="20"/>
    </row>
    <row r="643" ht="15.75" customHeight="1">
      <c r="A643" s="20"/>
    </row>
    <row r="644" ht="15.75" customHeight="1">
      <c r="A644" s="20"/>
    </row>
    <row r="645" ht="15.75" customHeight="1">
      <c r="A645" s="20"/>
    </row>
    <row r="646" ht="15.75" customHeight="1">
      <c r="A646" s="20"/>
    </row>
    <row r="647" ht="15.75" customHeight="1">
      <c r="A647" s="20"/>
    </row>
    <row r="648" ht="15.75" customHeight="1">
      <c r="A648" s="20"/>
    </row>
    <row r="649" ht="15.75" customHeight="1">
      <c r="A649" s="20"/>
    </row>
    <row r="650" ht="15.75" customHeight="1">
      <c r="A650" s="20"/>
    </row>
    <row r="651" ht="15.75" customHeight="1">
      <c r="A651" s="20"/>
    </row>
    <row r="652" ht="15.75" customHeight="1">
      <c r="A652" s="20"/>
    </row>
    <row r="653" ht="15.75" customHeight="1">
      <c r="A653" s="20"/>
    </row>
    <row r="654" ht="15.75" customHeight="1">
      <c r="A654" s="20"/>
    </row>
    <row r="655" ht="15.75" customHeight="1">
      <c r="A655" s="20"/>
    </row>
    <row r="656" ht="15.75" customHeight="1">
      <c r="A656" s="20"/>
    </row>
    <row r="657" ht="15.75" customHeight="1">
      <c r="A657" s="20"/>
    </row>
    <row r="658" ht="15.75" customHeight="1">
      <c r="A658" s="20"/>
    </row>
    <row r="659" ht="15.75" customHeight="1">
      <c r="A659" s="20"/>
    </row>
    <row r="660" ht="15.75" customHeight="1">
      <c r="A660" s="20"/>
    </row>
    <row r="661" ht="15.75" customHeight="1">
      <c r="A661" s="20"/>
    </row>
    <row r="662" ht="15.75" customHeight="1">
      <c r="A662" s="20"/>
    </row>
    <row r="663" ht="15.75" customHeight="1">
      <c r="A663" s="20"/>
    </row>
    <row r="664" ht="15.75" customHeight="1">
      <c r="A664" s="20"/>
    </row>
    <row r="665" ht="15.75" customHeight="1">
      <c r="A665" s="20"/>
    </row>
    <row r="666" ht="15.75" customHeight="1">
      <c r="A666" s="20"/>
    </row>
    <row r="667" ht="15.75" customHeight="1">
      <c r="A667" s="20"/>
    </row>
    <row r="668" ht="15.75" customHeight="1">
      <c r="A668" s="20"/>
    </row>
    <row r="669" ht="15.75" customHeight="1">
      <c r="A669" s="20"/>
    </row>
    <row r="670" ht="15.75" customHeight="1">
      <c r="A670" s="20"/>
    </row>
    <row r="671" ht="15.75" customHeight="1">
      <c r="A671" s="20"/>
    </row>
    <row r="672" ht="15.75" customHeight="1">
      <c r="A672" s="20"/>
    </row>
    <row r="673" ht="15.75" customHeight="1">
      <c r="A673" s="20"/>
    </row>
    <row r="674" ht="15.75" customHeight="1">
      <c r="A674" s="20"/>
    </row>
    <row r="675" ht="15.75" customHeight="1">
      <c r="A675" s="20"/>
    </row>
    <row r="676" ht="15.75" customHeight="1">
      <c r="A676" s="20"/>
    </row>
    <row r="677" ht="15.75" customHeight="1">
      <c r="A677" s="20"/>
    </row>
    <row r="678" ht="15.75" customHeight="1">
      <c r="A678" s="20"/>
    </row>
    <row r="679" ht="15.75" customHeight="1">
      <c r="A679" s="20"/>
    </row>
    <row r="680" ht="15.75" customHeight="1">
      <c r="A680" s="20"/>
    </row>
    <row r="681" ht="15.75" customHeight="1">
      <c r="A681" s="20"/>
    </row>
    <row r="682" ht="15.75" customHeight="1">
      <c r="A682" s="20"/>
    </row>
    <row r="683" ht="15.75" customHeight="1">
      <c r="A683" s="20"/>
    </row>
    <row r="684" ht="15.75" customHeight="1">
      <c r="A684" s="20"/>
    </row>
    <row r="685" ht="15.75" customHeight="1">
      <c r="A685" s="20"/>
    </row>
    <row r="686" ht="15.75" customHeight="1">
      <c r="A686" s="20"/>
    </row>
    <row r="687" ht="15.75" customHeight="1">
      <c r="A687" s="20"/>
    </row>
    <row r="688" ht="15.75" customHeight="1">
      <c r="A688" s="20"/>
    </row>
    <row r="689" ht="15.75" customHeight="1">
      <c r="A689" s="20"/>
    </row>
    <row r="690" ht="15.75" customHeight="1">
      <c r="A690" s="20"/>
    </row>
    <row r="691" ht="15.75" customHeight="1">
      <c r="A691" s="20"/>
    </row>
    <row r="692" ht="15.75" customHeight="1">
      <c r="A692" s="20"/>
    </row>
    <row r="693" ht="15.75" customHeight="1">
      <c r="A693" s="20"/>
    </row>
    <row r="694" ht="15.75" customHeight="1">
      <c r="A694" s="20"/>
    </row>
    <row r="695" ht="15.75" customHeight="1">
      <c r="A695" s="20"/>
    </row>
    <row r="696" ht="15.75" customHeight="1">
      <c r="A696" s="20"/>
    </row>
    <row r="697" ht="15.75" customHeight="1">
      <c r="A697" s="20"/>
    </row>
    <row r="698" ht="15.75" customHeight="1">
      <c r="A698" s="20"/>
    </row>
    <row r="699" ht="15.75" customHeight="1">
      <c r="A699" s="20"/>
    </row>
    <row r="700" ht="15.75" customHeight="1">
      <c r="A700" s="20"/>
    </row>
    <row r="701" ht="15.75" customHeight="1">
      <c r="A701" s="20"/>
    </row>
    <row r="702" ht="15.75" customHeight="1">
      <c r="A702" s="20"/>
    </row>
    <row r="703" ht="15.75" customHeight="1">
      <c r="A703" s="20"/>
    </row>
    <row r="704" ht="15.75" customHeight="1">
      <c r="A704" s="20"/>
    </row>
    <row r="705" ht="15.75" customHeight="1">
      <c r="A705" s="20"/>
    </row>
    <row r="706" ht="15.75" customHeight="1">
      <c r="A706" s="20"/>
    </row>
    <row r="707" ht="15.75" customHeight="1">
      <c r="A707" s="20"/>
    </row>
    <row r="708" ht="15.75" customHeight="1">
      <c r="A708" s="20"/>
    </row>
    <row r="709" ht="15.75" customHeight="1">
      <c r="A709" s="20"/>
    </row>
    <row r="710" ht="15.75" customHeight="1">
      <c r="A710" s="20"/>
    </row>
    <row r="711" ht="15.75" customHeight="1">
      <c r="A711" s="20"/>
    </row>
    <row r="712" ht="15.75" customHeight="1">
      <c r="A712" s="20"/>
    </row>
    <row r="713" ht="15.75" customHeight="1">
      <c r="A713" s="20"/>
    </row>
    <row r="714" ht="15.75" customHeight="1">
      <c r="A714" s="20"/>
    </row>
    <row r="715" ht="15.75" customHeight="1">
      <c r="A715" s="20"/>
    </row>
    <row r="716" ht="15.75" customHeight="1">
      <c r="A716" s="20"/>
    </row>
    <row r="717" ht="15.75" customHeight="1">
      <c r="A717" s="20"/>
    </row>
    <row r="718" ht="15.75" customHeight="1">
      <c r="A718" s="20"/>
    </row>
    <row r="719" ht="15.75" customHeight="1">
      <c r="A719" s="20"/>
    </row>
    <row r="720" ht="15.75" customHeight="1">
      <c r="A720" s="20"/>
    </row>
    <row r="721" ht="15.75" customHeight="1">
      <c r="A721" s="20"/>
    </row>
    <row r="722" ht="15.75" customHeight="1">
      <c r="A722" s="20"/>
    </row>
    <row r="723" ht="15.75" customHeight="1">
      <c r="A723" s="20"/>
    </row>
    <row r="724" ht="15.75" customHeight="1">
      <c r="A724" s="20"/>
    </row>
    <row r="725" ht="15.75" customHeight="1">
      <c r="A725" s="20"/>
    </row>
    <row r="726" ht="15.75" customHeight="1">
      <c r="A726" s="20"/>
    </row>
    <row r="727" ht="15.75" customHeight="1">
      <c r="A727" s="20"/>
    </row>
    <row r="728" ht="15.75" customHeight="1">
      <c r="A728" s="20"/>
    </row>
    <row r="729" ht="15.75" customHeight="1">
      <c r="A729" s="20"/>
    </row>
    <row r="730" ht="15.75" customHeight="1">
      <c r="A730" s="20"/>
    </row>
    <row r="731" ht="15.75" customHeight="1">
      <c r="A731" s="20"/>
    </row>
    <row r="732" ht="15.75" customHeight="1">
      <c r="A732" s="20"/>
    </row>
    <row r="733" ht="15.75" customHeight="1">
      <c r="A733" s="20"/>
    </row>
    <row r="734" ht="15.75" customHeight="1">
      <c r="A734" s="20"/>
    </row>
    <row r="735" ht="15.75" customHeight="1">
      <c r="A735" s="20"/>
    </row>
    <row r="736" ht="15.75" customHeight="1">
      <c r="A736" s="20"/>
    </row>
    <row r="737" ht="15.75" customHeight="1">
      <c r="A737" s="20"/>
    </row>
    <row r="738" ht="15.75" customHeight="1">
      <c r="A738" s="20"/>
    </row>
    <row r="739" ht="15.75" customHeight="1">
      <c r="A739" s="20"/>
    </row>
    <row r="740" ht="15.75" customHeight="1">
      <c r="A740" s="20"/>
    </row>
    <row r="741" ht="15.75" customHeight="1">
      <c r="A741" s="20"/>
    </row>
    <row r="742" ht="15.75" customHeight="1">
      <c r="A742" s="20"/>
    </row>
    <row r="743" ht="15.75" customHeight="1">
      <c r="A743" s="20"/>
    </row>
    <row r="744" ht="15.75" customHeight="1">
      <c r="A744" s="20"/>
    </row>
    <row r="745" ht="15.75" customHeight="1">
      <c r="A745" s="20"/>
    </row>
    <row r="746" ht="15.75" customHeight="1">
      <c r="A746" s="20"/>
    </row>
    <row r="747" ht="15.75" customHeight="1">
      <c r="A747" s="20"/>
    </row>
    <row r="748" ht="15.75" customHeight="1">
      <c r="A748" s="20"/>
    </row>
    <row r="749" ht="15.75" customHeight="1">
      <c r="A749" s="20"/>
    </row>
    <row r="750" ht="15.75" customHeight="1">
      <c r="A750" s="20"/>
    </row>
    <row r="751" ht="15.75" customHeight="1">
      <c r="A751" s="20"/>
    </row>
    <row r="752" ht="15.75" customHeight="1">
      <c r="A752" s="20"/>
    </row>
    <row r="753" ht="15.75" customHeight="1">
      <c r="A753" s="20"/>
    </row>
    <row r="754" ht="15.75" customHeight="1">
      <c r="A754" s="20"/>
    </row>
    <row r="755" ht="15.75" customHeight="1">
      <c r="A755" s="20"/>
    </row>
    <row r="756" ht="15.75" customHeight="1">
      <c r="A756" s="20"/>
    </row>
    <row r="757" ht="15.75" customHeight="1">
      <c r="A757" s="20"/>
    </row>
    <row r="758" ht="15.75" customHeight="1">
      <c r="A758" s="20"/>
    </row>
    <row r="759" ht="15.75" customHeight="1">
      <c r="A759" s="20"/>
    </row>
    <row r="760" ht="15.75" customHeight="1">
      <c r="A760" s="20"/>
    </row>
    <row r="761" ht="15.75" customHeight="1">
      <c r="A761" s="20"/>
    </row>
    <row r="762" ht="15.75" customHeight="1">
      <c r="A762" s="20"/>
    </row>
    <row r="763" ht="15.75" customHeight="1">
      <c r="A763" s="20"/>
    </row>
    <row r="764" ht="15.75" customHeight="1">
      <c r="A764" s="20"/>
    </row>
    <row r="765" ht="15.75" customHeight="1">
      <c r="A765" s="20"/>
    </row>
    <row r="766" ht="15.75" customHeight="1">
      <c r="A766" s="20"/>
    </row>
    <row r="767" ht="15.75" customHeight="1">
      <c r="A767" s="20"/>
    </row>
    <row r="768" ht="15.75" customHeight="1">
      <c r="A768" s="20"/>
    </row>
    <row r="769" ht="15.75" customHeight="1">
      <c r="A769" s="20"/>
    </row>
    <row r="770" ht="15.75" customHeight="1">
      <c r="A770" s="20"/>
    </row>
    <row r="771" ht="15.75" customHeight="1">
      <c r="A771" s="20"/>
    </row>
    <row r="772" ht="15.75" customHeight="1">
      <c r="A772" s="20"/>
    </row>
    <row r="773" ht="15.75" customHeight="1">
      <c r="A773" s="20"/>
    </row>
    <row r="774" ht="15.75" customHeight="1">
      <c r="A774" s="20"/>
    </row>
    <row r="775" ht="15.75" customHeight="1">
      <c r="A775" s="20"/>
    </row>
    <row r="776" ht="15.75" customHeight="1">
      <c r="A776" s="20"/>
    </row>
    <row r="777" ht="15.75" customHeight="1">
      <c r="A777" s="20"/>
    </row>
    <row r="778" ht="15.75" customHeight="1">
      <c r="A778" s="20"/>
    </row>
    <row r="779" ht="15.75" customHeight="1">
      <c r="A779" s="20"/>
    </row>
    <row r="780" ht="15.75" customHeight="1">
      <c r="A780" s="20"/>
    </row>
    <row r="781" ht="15.75" customHeight="1">
      <c r="A781" s="20"/>
    </row>
    <row r="782" ht="15.75" customHeight="1">
      <c r="A782" s="20"/>
    </row>
    <row r="783" ht="15.75" customHeight="1">
      <c r="A783" s="20"/>
    </row>
    <row r="784" ht="15.75" customHeight="1">
      <c r="A784" s="20"/>
    </row>
    <row r="785" ht="15.75" customHeight="1">
      <c r="A785" s="20"/>
    </row>
    <row r="786" ht="15.75" customHeight="1">
      <c r="A786" s="20"/>
    </row>
    <row r="787" ht="15.75" customHeight="1">
      <c r="A787" s="20"/>
    </row>
    <row r="788" ht="15.75" customHeight="1">
      <c r="A788" s="20"/>
    </row>
    <row r="789" ht="15.75" customHeight="1">
      <c r="A789" s="20"/>
    </row>
    <row r="790" ht="15.75" customHeight="1">
      <c r="A790" s="20"/>
    </row>
    <row r="791" ht="15.75" customHeight="1">
      <c r="A791" s="20"/>
    </row>
    <row r="792" ht="15.75" customHeight="1">
      <c r="A792" s="20"/>
    </row>
    <row r="793" ht="15.75" customHeight="1">
      <c r="A793" s="20"/>
    </row>
    <row r="794" ht="15.75" customHeight="1">
      <c r="A794" s="20"/>
    </row>
    <row r="795" ht="15.75" customHeight="1">
      <c r="A795" s="20"/>
    </row>
    <row r="796" ht="15.75" customHeight="1">
      <c r="A796" s="20"/>
    </row>
    <row r="797" ht="15.75" customHeight="1">
      <c r="A797" s="20"/>
    </row>
    <row r="798" ht="15.75" customHeight="1">
      <c r="A798" s="20"/>
    </row>
    <row r="799" ht="15.75" customHeight="1">
      <c r="A799" s="20"/>
    </row>
    <row r="800" ht="15.75" customHeight="1">
      <c r="A800" s="20"/>
    </row>
    <row r="801" ht="15.75" customHeight="1">
      <c r="A801" s="20"/>
    </row>
    <row r="802" ht="15.75" customHeight="1">
      <c r="A802" s="20"/>
    </row>
    <row r="803" ht="15.75" customHeight="1">
      <c r="A803" s="20"/>
    </row>
    <row r="804" ht="15.75" customHeight="1">
      <c r="A804" s="20"/>
    </row>
    <row r="805" ht="15.75" customHeight="1">
      <c r="A805" s="20"/>
    </row>
    <row r="806" ht="15.75" customHeight="1">
      <c r="A806" s="20"/>
    </row>
    <row r="807" ht="15.75" customHeight="1">
      <c r="A807" s="20"/>
    </row>
    <row r="808" ht="15.75" customHeight="1">
      <c r="A808" s="20"/>
    </row>
    <row r="809" ht="15.75" customHeight="1">
      <c r="A809" s="20"/>
    </row>
    <row r="810" ht="15.75" customHeight="1">
      <c r="A810" s="20"/>
    </row>
    <row r="811" ht="15.75" customHeight="1">
      <c r="A811" s="20"/>
    </row>
    <row r="812" ht="15.75" customHeight="1">
      <c r="A812" s="20"/>
    </row>
    <row r="813" ht="15.75" customHeight="1">
      <c r="A813" s="20"/>
    </row>
    <row r="814" ht="15.75" customHeight="1">
      <c r="A814" s="20"/>
    </row>
    <row r="815" ht="15.75" customHeight="1">
      <c r="A815" s="20"/>
    </row>
    <row r="816" ht="15.75" customHeight="1">
      <c r="A816" s="20"/>
    </row>
    <row r="817" ht="15.75" customHeight="1">
      <c r="A817" s="20"/>
    </row>
    <row r="818" ht="15.75" customHeight="1">
      <c r="A818" s="20"/>
    </row>
    <row r="819" ht="15.75" customHeight="1">
      <c r="A819" s="20"/>
    </row>
    <row r="820" ht="15.75" customHeight="1">
      <c r="A820" s="20"/>
    </row>
    <row r="821" ht="15.75" customHeight="1">
      <c r="A821" s="20"/>
    </row>
    <row r="822" ht="15.75" customHeight="1">
      <c r="A822" s="20"/>
    </row>
    <row r="823" ht="15.75" customHeight="1">
      <c r="A823" s="20"/>
    </row>
    <row r="824" ht="15.75" customHeight="1">
      <c r="A824" s="20"/>
    </row>
    <row r="825" ht="15.75" customHeight="1">
      <c r="A825" s="20"/>
    </row>
    <row r="826" ht="15.75" customHeight="1">
      <c r="A826" s="20"/>
    </row>
    <row r="827" ht="15.75" customHeight="1">
      <c r="A827" s="20"/>
    </row>
    <row r="828" ht="15.75" customHeight="1">
      <c r="A828" s="20"/>
    </row>
    <row r="829" ht="15.75" customHeight="1">
      <c r="A829" s="20"/>
    </row>
    <row r="830" ht="15.75" customHeight="1">
      <c r="A830" s="20"/>
    </row>
    <row r="831" ht="15.75" customHeight="1">
      <c r="A831" s="20"/>
    </row>
    <row r="832" ht="15.75" customHeight="1">
      <c r="A832" s="20"/>
    </row>
    <row r="833" ht="15.75" customHeight="1">
      <c r="A833" s="20"/>
    </row>
    <row r="834" ht="15.75" customHeight="1">
      <c r="A834" s="20"/>
    </row>
    <row r="835" ht="15.75" customHeight="1">
      <c r="A835" s="20"/>
    </row>
    <row r="836" ht="15.75" customHeight="1">
      <c r="A836" s="20"/>
    </row>
    <row r="837" ht="15.75" customHeight="1">
      <c r="A837" s="20"/>
    </row>
    <row r="838" ht="15.75" customHeight="1">
      <c r="A838" s="20"/>
    </row>
    <row r="839" ht="15.75" customHeight="1">
      <c r="A839" s="20"/>
    </row>
    <row r="840" ht="15.75" customHeight="1">
      <c r="A840" s="20"/>
    </row>
    <row r="841" ht="15.75" customHeight="1">
      <c r="A841" s="20"/>
    </row>
    <row r="842" ht="15.75" customHeight="1">
      <c r="A842" s="20"/>
    </row>
    <row r="843" ht="15.75" customHeight="1">
      <c r="A843" s="20"/>
    </row>
    <row r="844" ht="15.75" customHeight="1">
      <c r="A844" s="20"/>
    </row>
    <row r="845" ht="15.75" customHeight="1">
      <c r="A845" s="20"/>
    </row>
    <row r="846" ht="15.75" customHeight="1">
      <c r="A846" s="20"/>
    </row>
    <row r="847" ht="15.75" customHeight="1">
      <c r="A847" s="20"/>
    </row>
    <row r="848" ht="15.75" customHeight="1">
      <c r="A848" s="20"/>
    </row>
    <row r="849" ht="15.75" customHeight="1">
      <c r="A849" s="20"/>
    </row>
    <row r="850" ht="15.75" customHeight="1">
      <c r="A850" s="20"/>
    </row>
    <row r="851" ht="15.75" customHeight="1">
      <c r="A851" s="20"/>
    </row>
    <row r="852" ht="15.75" customHeight="1">
      <c r="A852" s="20"/>
    </row>
    <row r="853" ht="15.75" customHeight="1">
      <c r="A853" s="20"/>
    </row>
    <row r="854" ht="15.75" customHeight="1">
      <c r="A854" s="20"/>
    </row>
    <row r="855" ht="15.75" customHeight="1">
      <c r="A855" s="20"/>
    </row>
    <row r="856" ht="15.75" customHeight="1">
      <c r="A856" s="20"/>
    </row>
    <row r="857" ht="15.75" customHeight="1">
      <c r="A857" s="20"/>
    </row>
    <row r="858" ht="15.75" customHeight="1">
      <c r="A858" s="20"/>
    </row>
    <row r="859" ht="15.75" customHeight="1">
      <c r="A859" s="20"/>
    </row>
    <row r="860" ht="15.75" customHeight="1">
      <c r="A860" s="20"/>
    </row>
    <row r="861" ht="15.75" customHeight="1">
      <c r="A861" s="20"/>
    </row>
    <row r="862" ht="15.75" customHeight="1">
      <c r="A862" s="20"/>
    </row>
    <row r="863" ht="15.75" customHeight="1">
      <c r="A863" s="20"/>
    </row>
    <row r="864" ht="15.75" customHeight="1">
      <c r="A864" s="20"/>
    </row>
    <row r="865" ht="15.75" customHeight="1">
      <c r="A865" s="20"/>
    </row>
    <row r="866" ht="15.75" customHeight="1">
      <c r="A866" s="20"/>
    </row>
    <row r="867" ht="15.75" customHeight="1">
      <c r="A867" s="20"/>
    </row>
    <row r="868" ht="15.75" customHeight="1">
      <c r="A868" s="20"/>
    </row>
    <row r="869" ht="15.75" customHeight="1">
      <c r="A869" s="20"/>
    </row>
    <row r="870" ht="15.75" customHeight="1">
      <c r="A870" s="20"/>
    </row>
    <row r="871" ht="15.75" customHeight="1">
      <c r="A871" s="20"/>
    </row>
    <row r="872" ht="15.75" customHeight="1">
      <c r="A872" s="20"/>
    </row>
    <row r="873" ht="15.75" customHeight="1">
      <c r="A873" s="20"/>
    </row>
    <row r="874" ht="15.75" customHeight="1">
      <c r="A874" s="20"/>
    </row>
    <row r="875" ht="15.75" customHeight="1">
      <c r="A875" s="20"/>
    </row>
    <row r="876" ht="15.75" customHeight="1">
      <c r="A876" s="20"/>
    </row>
    <row r="877" ht="15.75" customHeight="1">
      <c r="A877" s="20"/>
    </row>
    <row r="878" ht="15.75" customHeight="1">
      <c r="A878" s="20"/>
    </row>
    <row r="879" ht="15.75" customHeight="1">
      <c r="A879" s="20"/>
    </row>
    <row r="880" ht="15.75" customHeight="1">
      <c r="A880" s="20"/>
    </row>
    <row r="881" ht="15.75" customHeight="1">
      <c r="A881" s="20"/>
    </row>
    <row r="882" ht="15.75" customHeight="1">
      <c r="A882" s="20"/>
    </row>
    <row r="883" ht="15.75" customHeight="1">
      <c r="A883" s="20"/>
    </row>
    <row r="884" ht="15.75" customHeight="1">
      <c r="A884" s="20"/>
    </row>
    <row r="885" ht="15.75" customHeight="1">
      <c r="A885" s="20"/>
    </row>
    <row r="886" ht="15.75" customHeight="1">
      <c r="A886" s="20"/>
    </row>
    <row r="887" ht="15.75" customHeight="1">
      <c r="A887" s="20"/>
    </row>
    <row r="888" ht="15.75" customHeight="1">
      <c r="A888" s="20"/>
    </row>
    <row r="889" ht="15.75" customHeight="1">
      <c r="A889" s="20"/>
    </row>
    <row r="890" ht="15.75" customHeight="1">
      <c r="A890" s="20"/>
    </row>
    <row r="891" ht="15.75" customHeight="1">
      <c r="A891" s="20"/>
    </row>
    <row r="892" ht="15.75" customHeight="1">
      <c r="A892" s="20"/>
    </row>
    <row r="893" ht="15.75" customHeight="1">
      <c r="A893" s="20"/>
    </row>
    <row r="894" ht="15.75" customHeight="1">
      <c r="A894" s="20"/>
    </row>
    <row r="895" ht="15.75" customHeight="1">
      <c r="A895" s="20"/>
    </row>
    <row r="896" ht="15.75" customHeight="1">
      <c r="A896" s="20"/>
    </row>
    <row r="897" ht="15.75" customHeight="1">
      <c r="A897" s="20"/>
    </row>
    <row r="898" ht="15.75" customHeight="1">
      <c r="A898" s="20"/>
    </row>
    <row r="899" ht="15.75" customHeight="1">
      <c r="A899" s="20"/>
    </row>
    <row r="900" ht="15.75" customHeight="1">
      <c r="A900" s="20"/>
    </row>
    <row r="901" ht="15.75" customHeight="1">
      <c r="A901" s="20"/>
    </row>
    <row r="902" ht="15.75" customHeight="1">
      <c r="A902" s="20"/>
    </row>
    <row r="903" ht="15.75" customHeight="1">
      <c r="A903" s="20"/>
    </row>
    <row r="904" ht="15.75" customHeight="1">
      <c r="A904" s="20"/>
    </row>
    <row r="905" ht="15.75" customHeight="1">
      <c r="A905" s="20"/>
    </row>
    <row r="906" ht="15.75" customHeight="1">
      <c r="A906" s="20"/>
    </row>
    <row r="907" ht="15.75" customHeight="1">
      <c r="A907" s="20"/>
    </row>
    <row r="908" ht="15.75" customHeight="1">
      <c r="A908" s="20"/>
    </row>
    <row r="909" ht="15.75" customHeight="1">
      <c r="A909" s="20"/>
    </row>
    <row r="910" ht="15.75" customHeight="1">
      <c r="A910" s="20"/>
    </row>
    <row r="911" ht="15.75" customHeight="1">
      <c r="A911" s="20"/>
    </row>
    <row r="912" ht="15.75" customHeight="1">
      <c r="A912" s="20"/>
    </row>
    <row r="913" ht="15.75" customHeight="1">
      <c r="A913" s="20"/>
    </row>
    <row r="914" ht="15.75" customHeight="1">
      <c r="A914" s="20"/>
    </row>
    <row r="915" ht="15.75" customHeight="1">
      <c r="A915" s="20"/>
    </row>
    <row r="916" ht="15.75" customHeight="1">
      <c r="A916" s="20"/>
    </row>
    <row r="917" ht="15.75" customHeight="1">
      <c r="A917" s="20"/>
    </row>
    <row r="918" ht="15.75" customHeight="1">
      <c r="A918" s="20"/>
    </row>
    <row r="919" ht="15.75" customHeight="1">
      <c r="A919" s="20"/>
    </row>
    <row r="920" ht="15.75" customHeight="1">
      <c r="A920" s="20"/>
    </row>
    <row r="921" ht="15.75" customHeight="1">
      <c r="A921" s="20"/>
    </row>
    <row r="922" ht="15.75" customHeight="1">
      <c r="A922" s="20"/>
    </row>
    <row r="923" ht="15.75" customHeight="1">
      <c r="A923" s="20"/>
    </row>
    <row r="924" ht="15.75" customHeight="1">
      <c r="A924" s="20"/>
    </row>
    <row r="925" ht="15.75" customHeight="1">
      <c r="A925" s="20"/>
    </row>
    <row r="926" ht="15.75" customHeight="1">
      <c r="A926" s="20"/>
    </row>
    <row r="927" ht="15.75" customHeight="1">
      <c r="A927" s="20"/>
    </row>
    <row r="928" ht="15.75" customHeight="1">
      <c r="A928" s="20"/>
    </row>
    <row r="929" ht="15.75" customHeight="1">
      <c r="A929" s="20"/>
    </row>
    <row r="930" ht="15.75" customHeight="1">
      <c r="A930" s="20"/>
    </row>
    <row r="931" ht="15.75" customHeight="1">
      <c r="A931" s="20"/>
    </row>
    <row r="932" ht="15.75" customHeight="1">
      <c r="A932" s="20"/>
    </row>
    <row r="933" ht="15.75" customHeight="1">
      <c r="A933" s="20"/>
    </row>
    <row r="934" ht="15.75" customHeight="1">
      <c r="A934" s="20"/>
    </row>
    <row r="935" ht="15.75" customHeight="1">
      <c r="A935" s="20"/>
    </row>
    <row r="936" ht="15.75" customHeight="1">
      <c r="A936" s="20"/>
    </row>
    <row r="937" ht="15.75" customHeight="1">
      <c r="A937" s="20"/>
    </row>
    <row r="938" ht="15.75" customHeight="1">
      <c r="A938" s="20"/>
    </row>
    <row r="939" ht="15.75" customHeight="1">
      <c r="A939" s="20"/>
    </row>
    <row r="940" ht="15.75" customHeight="1">
      <c r="A940" s="20"/>
    </row>
    <row r="941" ht="15.75" customHeight="1">
      <c r="A941" s="20"/>
    </row>
    <row r="942" ht="15.75" customHeight="1">
      <c r="A942" s="20"/>
    </row>
    <row r="943" ht="15.75" customHeight="1">
      <c r="A943" s="20"/>
    </row>
    <row r="944" ht="15.75" customHeight="1">
      <c r="A944" s="20"/>
    </row>
    <row r="945" ht="15.75" customHeight="1">
      <c r="A945" s="20"/>
    </row>
    <row r="946" ht="15.75" customHeight="1">
      <c r="A946" s="20"/>
    </row>
    <row r="947" ht="15.75" customHeight="1">
      <c r="A947" s="20"/>
    </row>
    <row r="948" ht="15.75" customHeight="1">
      <c r="A948" s="20"/>
    </row>
    <row r="949" ht="15.75" customHeight="1">
      <c r="A949" s="20"/>
    </row>
    <row r="950" ht="15.75" customHeight="1">
      <c r="A950" s="20"/>
    </row>
    <row r="951" ht="15.75" customHeight="1">
      <c r="A951" s="20"/>
    </row>
    <row r="952" ht="15.75" customHeight="1">
      <c r="A952" s="20"/>
    </row>
    <row r="953" ht="15.75" customHeight="1">
      <c r="A953" s="20"/>
    </row>
    <row r="954" ht="15.75" customHeight="1">
      <c r="A954" s="20"/>
    </row>
    <row r="955" ht="15.75" customHeight="1">
      <c r="A955" s="20"/>
    </row>
    <row r="956" ht="15.75" customHeight="1">
      <c r="A956" s="20"/>
    </row>
    <row r="957" ht="15.75" customHeight="1">
      <c r="A957" s="20"/>
    </row>
    <row r="958" ht="15.75" customHeight="1">
      <c r="A958" s="20"/>
    </row>
    <row r="959" ht="15.75" customHeight="1">
      <c r="A959" s="20"/>
    </row>
    <row r="960" ht="15.75" customHeight="1">
      <c r="A960" s="20"/>
    </row>
    <row r="961" ht="15.75" customHeight="1">
      <c r="A961" s="20"/>
    </row>
    <row r="962" ht="15.75" customHeight="1">
      <c r="A962" s="20"/>
    </row>
    <row r="963" ht="15.75" customHeight="1">
      <c r="A963" s="20"/>
    </row>
    <row r="964" ht="15.75" customHeight="1">
      <c r="A964" s="20"/>
    </row>
    <row r="965" ht="15.75" customHeight="1">
      <c r="A965" s="20"/>
    </row>
    <row r="966" ht="15.75" customHeight="1">
      <c r="A966" s="20"/>
    </row>
    <row r="967" ht="15.75" customHeight="1">
      <c r="A967" s="20"/>
    </row>
    <row r="968" ht="15.75" customHeight="1">
      <c r="A968" s="20"/>
    </row>
    <row r="969" ht="15.75" customHeight="1">
      <c r="A969" s="20"/>
    </row>
    <row r="970" ht="15.75" customHeight="1">
      <c r="A970" s="20"/>
    </row>
    <row r="971" ht="15.75" customHeight="1">
      <c r="A971" s="20"/>
    </row>
    <row r="972" ht="15.75" customHeight="1">
      <c r="A972" s="20"/>
    </row>
    <row r="973" ht="15.75" customHeight="1">
      <c r="A973" s="20"/>
    </row>
    <row r="974" ht="15.75" customHeight="1">
      <c r="A974" s="20"/>
    </row>
    <row r="975" ht="15.75" customHeight="1">
      <c r="A975" s="20"/>
    </row>
    <row r="976" ht="15.75" customHeight="1">
      <c r="A976" s="20"/>
    </row>
    <row r="977" ht="15.75" customHeight="1">
      <c r="A977" s="20"/>
    </row>
    <row r="978" ht="15.75" customHeight="1">
      <c r="A978" s="20"/>
    </row>
    <row r="979" ht="15.75" customHeight="1">
      <c r="A979" s="20"/>
    </row>
    <row r="980" ht="15.75" customHeight="1">
      <c r="A980" s="20"/>
    </row>
    <row r="981" ht="15.75" customHeight="1">
      <c r="A981" s="20"/>
    </row>
    <row r="982" ht="15.75" customHeight="1">
      <c r="A982" s="20"/>
    </row>
    <row r="983" ht="15.75" customHeight="1">
      <c r="A983" s="20"/>
    </row>
    <row r="984" ht="15.75" customHeight="1">
      <c r="A984" s="20"/>
    </row>
    <row r="985" ht="15.75" customHeight="1">
      <c r="A985" s="20"/>
    </row>
    <row r="986" ht="15.75" customHeight="1">
      <c r="A986" s="20"/>
    </row>
    <row r="987" ht="15.75" customHeight="1">
      <c r="A987" s="20"/>
    </row>
    <row r="988" ht="15.75" customHeight="1">
      <c r="A988" s="20"/>
    </row>
    <row r="989" ht="15.75" customHeight="1">
      <c r="A989" s="20"/>
    </row>
    <row r="990" ht="15.75" customHeight="1">
      <c r="A990" s="20"/>
    </row>
    <row r="991" ht="15.75" customHeight="1">
      <c r="A991" s="20"/>
    </row>
    <row r="992" ht="15.75" customHeight="1">
      <c r="A992" s="20"/>
    </row>
    <row r="993" ht="15.75" customHeight="1">
      <c r="A993" s="20"/>
    </row>
    <row r="994" ht="15.75" customHeight="1">
      <c r="A994" s="20"/>
    </row>
    <row r="995" ht="15.75" customHeight="1">
      <c r="A995" s="20"/>
    </row>
    <row r="996" ht="15.75" customHeight="1">
      <c r="A996" s="20"/>
    </row>
    <row r="997" ht="15.75" customHeight="1">
      <c r="A997" s="20"/>
    </row>
    <row r="998" ht="15.75" customHeight="1">
      <c r="A998" s="20"/>
    </row>
    <row r="999" ht="15.75" customHeight="1">
      <c r="A999" s="20"/>
    </row>
    <row r="1000" ht="15.75" customHeight="1">
      <c r="A1000" s="20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7.86"/>
    <col customWidth="1" min="3" max="6" width="8.57"/>
    <col customWidth="1" min="7" max="26" width="17.43"/>
  </cols>
  <sheetData>
    <row r="1" ht="15.75" customHeight="1">
      <c r="A1" s="22" t="s">
        <v>1086</v>
      </c>
      <c r="B1" s="11"/>
      <c r="K1" s="9" t="s">
        <v>1087</v>
      </c>
    </row>
    <row r="2" ht="15.75" customHeight="1">
      <c r="A2" s="2" t="str">
        <f>IFERROR(__xludf.DUMMYFUNCTION("QUERY(Data!A:O, ""Select I, sum(N) group by I order by sum(N) desc"", 1)"),"State")</f>
        <v>State</v>
      </c>
      <c r="B2" s="15" t="str">
        <f>IFERROR(__xludf.DUMMYFUNCTION("""COMPUTED_VALUE"""),"sum Killed")</f>
        <v>sum Killed</v>
      </c>
      <c r="D2" s="19"/>
      <c r="E2" s="11"/>
      <c r="K2" s="2" t="str">
        <f>IFERROR(__xludf.DUMMYFUNCTION("QUERY(Data!A:O, ""Select I, sum(N) where A &gt; 2013 group by I order by sum(N) desc"", 1)"),"State")</f>
        <v>State</v>
      </c>
      <c r="L2" s="2" t="str">
        <f>IFERROR(__xludf.DUMMYFUNCTION("""COMPUTED_VALUE"""),"sum Killed")</f>
        <v>sum Killed</v>
      </c>
    </row>
    <row r="3" ht="15.75" customHeight="1">
      <c r="A3" s="17" t="str">
        <f>IFERROR(__xludf.DUMMYFUNCTION("""COMPUTED_VALUE"""),"CO")</f>
        <v>CO</v>
      </c>
      <c r="B3" s="18">
        <f>IFERROR(__xludf.DUMMYFUNCTION("""COMPUTED_VALUE"""),323.0)</f>
        <v>323</v>
      </c>
      <c r="D3" s="19"/>
      <c r="E3" s="11"/>
      <c r="K3" s="2" t="str">
        <f>IFERROR(__xludf.DUMMYFUNCTION("""COMPUTED_VALUE"""),"CO")</f>
        <v>CO</v>
      </c>
      <c r="L3" s="2">
        <f>IFERROR(__xludf.DUMMYFUNCTION("""COMPUTED_VALUE"""),64.0)</f>
        <v>64</v>
      </c>
    </row>
    <row r="4" ht="15.75" customHeight="1">
      <c r="A4" s="17" t="str">
        <f>IFERROR(__xludf.DUMMYFUNCTION("""COMPUTED_VALUE"""),"AK")</f>
        <v>AK</v>
      </c>
      <c r="B4" s="18">
        <f>IFERROR(__xludf.DUMMYFUNCTION("""COMPUTED_VALUE"""),170.0)</f>
        <v>170</v>
      </c>
      <c r="D4" s="19"/>
      <c r="E4" s="11"/>
      <c r="K4" s="2" t="str">
        <f>IFERROR(__xludf.DUMMYFUNCTION("""COMPUTED_VALUE"""),"AK")</f>
        <v>AK</v>
      </c>
      <c r="L4" s="2">
        <f>IFERROR(__xludf.DUMMYFUNCTION("""COMPUTED_VALUE"""),29.0)</f>
        <v>29</v>
      </c>
    </row>
    <row r="5" ht="15.75" customHeight="1">
      <c r="A5" s="17" t="str">
        <f>IFERROR(__xludf.DUMMYFUNCTION("""COMPUTED_VALUE"""),"WA")</f>
        <v>WA</v>
      </c>
      <c r="B5" s="18">
        <f>IFERROR(__xludf.DUMMYFUNCTION("""COMPUTED_VALUE"""),136.0)</f>
        <v>136</v>
      </c>
      <c r="D5" s="19"/>
      <c r="E5" s="11"/>
      <c r="K5" s="2" t="str">
        <f>IFERROR(__xludf.DUMMYFUNCTION("""COMPUTED_VALUE"""),"WA")</f>
        <v>WA</v>
      </c>
      <c r="L5" s="2">
        <f>IFERROR(__xludf.DUMMYFUNCTION("""COMPUTED_VALUE"""),29.0)</f>
        <v>29</v>
      </c>
    </row>
    <row r="6" ht="15.75" customHeight="1">
      <c r="A6" s="17" t="str">
        <f>IFERROR(__xludf.DUMMYFUNCTION("""COMPUTED_VALUE"""),"UT")</f>
        <v>UT</v>
      </c>
      <c r="B6" s="18">
        <f>IFERROR(__xludf.DUMMYFUNCTION("""COMPUTED_VALUE"""),131.0)</f>
        <v>131</v>
      </c>
      <c r="D6" s="19"/>
      <c r="E6" s="11"/>
      <c r="K6" s="2" t="str">
        <f>IFERROR(__xludf.DUMMYFUNCTION("""COMPUTED_VALUE"""),"MT")</f>
        <v>MT</v>
      </c>
      <c r="L6" s="2">
        <f>IFERROR(__xludf.DUMMYFUNCTION("""COMPUTED_VALUE"""),28.0)</f>
        <v>28</v>
      </c>
    </row>
    <row r="7" ht="15.75" customHeight="1">
      <c r="A7" s="17" t="str">
        <f>IFERROR(__xludf.DUMMYFUNCTION("""COMPUTED_VALUE"""),"MT")</f>
        <v>MT</v>
      </c>
      <c r="B7" s="18">
        <f>IFERROR(__xludf.DUMMYFUNCTION("""COMPUTED_VALUE"""),128.0)</f>
        <v>128</v>
      </c>
      <c r="D7" s="19"/>
      <c r="E7" s="11"/>
      <c r="K7" s="2" t="str">
        <f>IFERROR(__xludf.DUMMYFUNCTION("""COMPUTED_VALUE"""),"WY")</f>
        <v>WY</v>
      </c>
      <c r="L7" s="2">
        <f>IFERROR(__xludf.DUMMYFUNCTION("""COMPUTED_VALUE"""),25.0)</f>
        <v>25</v>
      </c>
    </row>
    <row r="8" ht="15.75" customHeight="1">
      <c r="A8" s="17" t="str">
        <f>IFERROR(__xludf.DUMMYFUNCTION("""COMPUTED_VALUE"""),"WY")</f>
        <v>WY</v>
      </c>
      <c r="B8" s="18">
        <f>IFERROR(__xludf.DUMMYFUNCTION("""COMPUTED_VALUE"""),98.0)</f>
        <v>98</v>
      </c>
      <c r="D8" s="19"/>
      <c r="E8" s="11"/>
      <c r="K8" s="2" t="str">
        <f>IFERROR(__xludf.DUMMYFUNCTION("""COMPUTED_VALUE"""),"ID")</f>
        <v>ID</v>
      </c>
      <c r="L8" s="2">
        <f>IFERROR(__xludf.DUMMYFUNCTION("""COMPUTED_VALUE"""),23.0)</f>
        <v>23</v>
      </c>
    </row>
    <row r="9" ht="15.75" customHeight="1">
      <c r="A9" s="17" t="str">
        <f>IFERROR(__xludf.DUMMYFUNCTION("""COMPUTED_VALUE"""),"ID")</f>
        <v>ID</v>
      </c>
      <c r="B9" s="18">
        <f>IFERROR(__xludf.DUMMYFUNCTION("""COMPUTED_VALUE"""),92.0)</f>
        <v>92</v>
      </c>
      <c r="D9" s="19"/>
      <c r="E9" s="11"/>
      <c r="K9" s="2" t="str">
        <f>IFERROR(__xludf.DUMMYFUNCTION("""COMPUTED_VALUE"""),"UT")</f>
        <v>UT</v>
      </c>
      <c r="L9" s="2">
        <f>IFERROR(__xludf.DUMMYFUNCTION("""COMPUTED_VALUE"""),21.0)</f>
        <v>21</v>
      </c>
    </row>
    <row r="10" ht="15.75" customHeight="1">
      <c r="A10" s="17" t="str">
        <f>IFERROR(__xludf.DUMMYFUNCTION("""COMPUTED_VALUE"""),"CA")</f>
        <v>CA</v>
      </c>
      <c r="B10" s="18">
        <f>IFERROR(__xludf.DUMMYFUNCTION("""COMPUTED_VALUE"""),71.0)</f>
        <v>71</v>
      </c>
      <c r="D10" s="19"/>
      <c r="E10" s="11"/>
      <c r="K10" s="2" t="str">
        <f>IFERROR(__xludf.DUMMYFUNCTION("""COMPUTED_VALUE"""),"CA")</f>
        <v>CA</v>
      </c>
      <c r="L10" s="2">
        <f>IFERROR(__xludf.DUMMYFUNCTION("""COMPUTED_VALUE"""),9.0)</f>
        <v>9</v>
      </c>
    </row>
    <row r="11" ht="15.75" customHeight="1">
      <c r="A11" s="17" t="str">
        <f>IFERROR(__xludf.DUMMYFUNCTION("""COMPUTED_VALUE"""),"OR")</f>
        <v>OR</v>
      </c>
      <c r="B11" s="18">
        <f>IFERROR(__xludf.DUMMYFUNCTION("""COMPUTED_VALUE"""),21.0)</f>
        <v>21</v>
      </c>
      <c r="D11" s="19"/>
      <c r="E11" s="11"/>
      <c r="K11" s="2" t="str">
        <f>IFERROR(__xludf.DUMMYFUNCTION("""COMPUTED_VALUE"""),"OR")</f>
        <v>OR</v>
      </c>
      <c r="L11" s="2">
        <f>IFERROR(__xludf.DUMMYFUNCTION("""COMPUTED_VALUE"""),9.0)</f>
        <v>9</v>
      </c>
    </row>
    <row r="12" ht="15.75" customHeight="1">
      <c r="A12" s="17" t="str">
        <f>IFERROR(__xludf.DUMMYFUNCTION("""COMPUTED_VALUE"""),"NH")</f>
        <v>NH</v>
      </c>
      <c r="B12" s="18">
        <f>IFERROR(__xludf.DUMMYFUNCTION("""COMPUTED_VALUE"""),17.0)</f>
        <v>17</v>
      </c>
      <c r="D12" s="19"/>
      <c r="E12" s="11"/>
      <c r="K12" s="2" t="str">
        <f>IFERROR(__xludf.DUMMYFUNCTION("""COMPUTED_VALUE"""),"NV")</f>
        <v>NV</v>
      </c>
      <c r="L12" s="2">
        <f>IFERROR(__xludf.DUMMYFUNCTION("""COMPUTED_VALUE"""),3.0)</f>
        <v>3</v>
      </c>
    </row>
    <row r="13" ht="15.75" customHeight="1">
      <c r="A13" s="17" t="str">
        <f>IFERROR(__xludf.DUMMYFUNCTION("""COMPUTED_VALUE"""),"NV")</f>
        <v>NV</v>
      </c>
      <c r="B13" s="18">
        <f>IFERROR(__xludf.DUMMYFUNCTION("""COMPUTED_VALUE"""),14.0)</f>
        <v>14</v>
      </c>
      <c r="D13" s="19"/>
      <c r="E13" s="11"/>
      <c r="K13" s="2" t="str">
        <f>IFERROR(__xludf.DUMMYFUNCTION("""COMPUTED_VALUE"""),"NH")</f>
        <v>NH</v>
      </c>
      <c r="L13" s="2">
        <f>IFERROR(__xludf.DUMMYFUNCTION("""COMPUTED_VALUE"""),2.0)</f>
        <v>2</v>
      </c>
    </row>
    <row r="14" ht="15.75" customHeight="1">
      <c r="A14" s="17" t="str">
        <f>IFERROR(__xludf.DUMMYFUNCTION("""COMPUTED_VALUE"""),"NM")</f>
        <v>NM</v>
      </c>
      <c r="B14" s="18">
        <f>IFERROR(__xludf.DUMMYFUNCTION("""COMPUTED_VALUE"""),6.0)</f>
        <v>6</v>
      </c>
      <c r="D14" s="19"/>
      <c r="E14" s="11"/>
      <c r="K14" s="2" t="str">
        <f>IFERROR(__xludf.DUMMYFUNCTION("""COMPUTED_VALUE"""),"NM")</f>
        <v>NM</v>
      </c>
      <c r="L14" s="2">
        <f>IFERROR(__xludf.DUMMYFUNCTION("""COMPUTED_VALUE"""),2.0)</f>
        <v>2</v>
      </c>
    </row>
    <row r="15" ht="15.75" customHeight="1">
      <c r="A15" s="17" t="str">
        <f>IFERROR(__xludf.DUMMYFUNCTION("""COMPUTED_VALUE"""),"NY")</f>
        <v>NY</v>
      </c>
      <c r="B15" s="18">
        <f>IFERROR(__xludf.DUMMYFUNCTION("""COMPUTED_VALUE"""),4.0)</f>
        <v>4</v>
      </c>
      <c r="D15" s="19"/>
      <c r="E15" s="11"/>
    </row>
    <row r="16" ht="15.75" customHeight="1">
      <c r="A16" s="17" t="str">
        <f>IFERROR(__xludf.DUMMYFUNCTION("""COMPUTED_VALUE"""),"ME")</f>
        <v>ME</v>
      </c>
      <c r="B16" s="18">
        <f>IFERROR(__xludf.DUMMYFUNCTION("""COMPUTED_VALUE"""),2.0)</f>
        <v>2</v>
      </c>
      <c r="D16" s="19"/>
      <c r="E16" s="11"/>
    </row>
    <row r="17" ht="15.75" customHeight="1">
      <c r="A17" s="17" t="str">
        <f>IFERROR(__xludf.DUMMYFUNCTION("""COMPUTED_VALUE"""),"AZ")</f>
        <v>AZ</v>
      </c>
      <c r="B17" s="18">
        <f>IFERROR(__xludf.DUMMYFUNCTION("""COMPUTED_VALUE"""),1.0)</f>
        <v>1</v>
      </c>
      <c r="D17" s="19"/>
      <c r="E17" s="11"/>
    </row>
    <row r="18" ht="15.75" customHeight="1">
      <c r="A18" s="17" t="str">
        <f>IFERROR(__xludf.DUMMYFUNCTION("""COMPUTED_VALUE"""),"ND")</f>
        <v>ND</v>
      </c>
      <c r="B18" s="18">
        <f>IFERROR(__xludf.DUMMYFUNCTION("""COMPUTED_VALUE"""),1.0)</f>
        <v>1</v>
      </c>
      <c r="D18" s="19"/>
      <c r="E18" s="11"/>
    </row>
    <row r="19" ht="15.75" customHeight="1">
      <c r="A19" s="11" t="str">
        <f>IFERROR(__xludf.DUMMYFUNCTION("""COMPUTED_VALUE"""),"VT")</f>
        <v>VT</v>
      </c>
      <c r="B19" s="11">
        <f>IFERROR(__xludf.DUMMYFUNCTION("""COMPUTED_VALUE"""),1.0)</f>
        <v>1</v>
      </c>
    </row>
    <row r="20" ht="15.75" customHeight="1">
      <c r="A20" s="11"/>
      <c r="B20" s="11"/>
    </row>
    <row r="21" ht="15.75" customHeight="1">
      <c r="A21" s="11"/>
      <c r="B21" s="11"/>
    </row>
    <row r="22" ht="15.75" customHeight="1">
      <c r="A22" s="11"/>
      <c r="B22" s="11"/>
    </row>
    <row r="23" ht="15.75" customHeight="1">
      <c r="A23" s="11"/>
      <c r="B23" s="11"/>
    </row>
    <row r="24" ht="15.75" customHeight="1">
      <c r="A24" s="11"/>
      <c r="B24" s="11"/>
    </row>
    <row r="25" ht="15.75" customHeight="1">
      <c r="A25" s="11"/>
      <c r="B25" s="11"/>
    </row>
    <row r="26" ht="15.75" customHeight="1">
      <c r="A26" s="11"/>
      <c r="B26" s="11"/>
    </row>
    <row r="27" ht="15.75" customHeight="1">
      <c r="A27" s="11"/>
      <c r="B27" s="11"/>
    </row>
    <row r="28" ht="15.75" customHeight="1">
      <c r="A28" s="11"/>
      <c r="B28" s="11"/>
    </row>
    <row r="29" ht="15.75" customHeight="1">
      <c r="A29" s="11"/>
      <c r="B29" s="11"/>
    </row>
    <row r="30" ht="15.75" customHeight="1">
      <c r="A30" s="11"/>
      <c r="B30" s="11"/>
    </row>
    <row r="31" ht="15.75" customHeight="1">
      <c r="A31" s="11"/>
      <c r="B31" s="11"/>
    </row>
    <row r="32" ht="15.75" customHeight="1">
      <c r="A32" s="11"/>
      <c r="B32" s="11"/>
    </row>
    <row r="33" ht="15.75" customHeight="1">
      <c r="A33" s="11"/>
      <c r="B33" s="11"/>
    </row>
    <row r="34" ht="15.75" customHeight="1">
      <c r="A34" s="11"/>
      <c r="B34" s="11"/>
    </row>
    <row r="35" ht="15.75" customHeight="1">
      <c r="A35" s="11"/>
      <c r="B35" s="11"/>
    </row>
    <row r="36" ht="15.75" customHeight="1">
      <c r="A36" s="11"/>
      <c r="B36" s="11"/>
    </row>
    <row r="37" ht="15.75" customHeight="1">
      <c r="A37" s="11"/>
      <c r="B37" s="11"/>
    </row>
    <row r="38" ht="15.75" customHeight="1">
      <c r="A38" s="3"/>
      <c r="B38" s="3"/>
    </row>
    <row r="39" ht="15.75" customHeight="1">
      <c r="A39" s="3"/>
      <c r="B39" s="3"/>
    </row>
    <row r="40" ht="15.75" customHeight="1">
      <c r="B40" s="1"/>
    </row>
    <row r="41" ht="15.75" customHeight="1">
      <c r="A41" s="1"/>
      <c r="B41" s="3"/>
    </row>
    <row r="42" ht="15.75" customHeight="1">
      <c r="A42" s="3"/>
      <c r="B42" s="3"/>
    </row>
    <row r="43" ht="15.75" customHeight="1">
      <c r="A43" s="3"/>
      <c r="B43" s="3"/>
    </row>
    <row r="44" ht="15.75" customHeight="1">
      <c r="A44" s="3"/>
      <c r="B44" s="3"/>
    </row>
    <row r="45" ht="15.75" customHeight="1">
      <c r="A45" s="3"/>
      <c r="B45" s="3"/>
    </row>
    <row r="46" ht="15.75" customHeight="1">
      <c r="A46" s="3"/>
      <c r="B46" s="3"/>
    </row>
    <row r="47" ht="15.75" customHeight="1">
      <c r="A47" s="3"/>
      <c r="B47" s="3"/>
    </row>
    <row r="48" ht="15.75" customHeight="1">
      <c r="A48" s="3"/>
      <c r="B48" s="3"/>
    </row>
    <row r="49" ht="15.75" customHeight="1">
      <c r="A49" s="3"/>
      <c r="B49" s="3"/>
    </row>
    <row r="50" ht="15.75" customHeight="1">
      <c r="A50" s="3"/>
      <c r="B50" s="3"/>
    </row>
    <row r="51" ht="15.75" customHeight="1">
      <c r="A51" s="3"/>
      <c r="B51" s="3"/>
    </row>
    <row r="52" ht="15.75" customHeight="1">
      <c r="A52" s="3"/>
      <c r="B52" s="3"/>
    </row>
    <row r="53" ht="15.75" customHeight="1">
      <c r="A53" s="3"/>
      <c r="B53" s="3"/>
    </row>
    <row r="54" ht="15.75" customHeight="1">
      <c r="A54" s="3"/>
      <c r="B54" s="3"/>
    </row>
    <row r="55" ht="15.75" customHeight="1">
      <c r="A55" s="3"/>
      <c r="B55" s="3"/>
    </row>
    <row r="56" ht="15.75" customHeight="1">
      <c r="A56" s="3"/>
      <c r="B56" s="3"/>
    </row>
    <row r="57" ht="15.75" customHeight="1">
      <c r="A57" s="3"/>
      <c r="B57" s="3"/>
    </row>
    <row r="58" ht="15.75" customHeight="1">
      <c r="A58" s="3"/>
      <c r="B58" s="3"/>
    </row>
    <row r="59" ht="15.75" customHeight="1">
      <c r="A59" s="3"/>
      <c r="B59" s="3"/>
    </row>
    <row r="60" ht="15.75" customHeight="1">
      <c r="A60" s="3"/>
      <c r="B60" s="3"/>
    </row>
    <row r="61" ht="15.75" customHeight="1">
      <c r="A61" s="3"/>
      <c r="B61" s="3"/>
    </row>
    <row r="62" ht="15.75" customHeight="1">
      <c r="A62" s="3"/>
      <c r="B62" s="3"/>
    </row>
    <row r="63" ht="15.75" customHeight="1">
      <c r="A63" s="3"/>
      <c r="B63" s="3"/>
    </row>
    <row r="64" ht="15.75" customHeight="1">
      <c r="A64" s="3"/>
      <c r="B64" s="3"/>
    </row>
    <row r="65" ht="15.75" customHeight="1">
      <c r="A65" s="3"/>
      <c r="B65" s="3"/>
    </row>
    <row r="66" ht="15.75" customHeight="1">
      <c r="A66" s="3"/>
      <c r="B66" s="3"/>
    </row>
    <row r="67" ht="15.75" customHeight="1">
      <c r="A67" s="3"/>
      <c r="B67" s="3"/>
    </row>
    <row r="68" ht="15.75" customHeight="1">
      <c r="A68" s="3"/>
      <c r="B68" s="3"/>
    </row>
    <row r="69" ht="15.75" customHeight="1">
      <c r="A69" s="3"/>
      <c r="B69" s="3"/>
    </row>
    <row r="70" ht="15.75" customHeight="1">
      <c r="A70" s="3"/>
      <c r="B70" s="3"/>
    </row>
    <row r="71" ht="15.75" customHeight="1">
      <c r="A71" s="3"/>
      <c r="B71" s="3"/>
    </row>
    <row r="72" ht="15.75" customHeight="1">
      <c r="A72" s="11"/>
      <c r="B72" s="11"/>
    </row>
    <row r="73" ht="15.75" customHeight="1">
      <c r="A73" s="11"/>
      <c r="B73" s="11"/>
    </row>
    <row r="74" ht="15.75" customHeight="1">
      <c r="A74" s="11"/>
      <c r="B74" s="11"/>
    </row>
    <row r="75" ht="15.75" customHeight="1">
      <c r="A75" s="11"/>
      <c r="B75" s="11"/>
    </row>
    <row r="76" ht="15.75" customHeight="1">
      <c r="A76" s="11"/>
      <c r="B76" s="11"/>
    </row>
    <row r="77" ht="15.75" customHeight="1">
      <c r="A77" s="11"/>
      <c r="B77" s="11"/>
    </row>
    <row r="78" ht="15.75" customHeight="1">
      <c r="A78" s="11"/>
      <c r="B78" s="11"/>
    </row>
    <row r="79" ht="15.75" customHeight="1">
      <c r="A79" s="11"/>
      <c r="B79" s="11"/>
    </row>
    <row r="80" ht="15.75" customHeight="1">
      <c r="A80" s="11"/>
      <c r="B80" s="11"/>
    </row>
    <row r="81" ht="15.75" customHeight="1">
      <c r="A81" s="11"/>
      <c r="B81" s="11"/>
    </row>
    <row r="82" ht="15.75" customHeight="1">
      <c r="A82" s="11"/>
      <c r="B82" s="11"/>
    </row>
    <row r="83" ht="15.75" customHeight="1">
      <c r="A83" s="11"/>
      <c r="B83" s="11"/>
    </row>
    <row r="84" ht="15.75" customHeight="1">
      <c r="A84" s="11"/>
      <c r="B84" s="11"/>
    </row>
    <row r="85" ht="15.75" customHeight="1">
      <c r="A85" s="11"/>
      <c r="B85" s="11"/>
    </row>
    <row r="86" ht="15.75" customHeight="1">
      <c r="A86" s="11"/>
      <c r="B86" s="11"/>
    </row>
    <row r="87" ht="15.75" customHeight="1">
      <c r="A87" s="11"/>
      <c r="B87" s="11"/>
    </row>
    <row r="88" ht="15.75" customHeight="1">
      <c r="A88" s="11"/>
      <c r="B88" s="11"/>
    </row>
    <row r="89" ht="15.75" customHeight="1">
      <c r="A89" s="11"/>
      <c r="B89" s="11"/>
    </row>
    <row r="90" ht="15.75" customHeight="1">
      <c r="A90" s="11"/>
      <c r="B90" s="11"/>
    </row>
    <row r="91" ht="15.75" customHeight="1">
      <c r="A91" s="11"/>
      <c r="B91" s="11"/>
    </row>
    <row r="92" ht="15.75" customHeight="1">
      <c r="A92" s="11"/>
      <c r="B92" s="11"/>
    </row>
    <row r="93" ht="15.75" customHeight="1">
      <c r="A93" s="11"/>
      <c r="B93" s="11"/>
    </row>
    <row r="94" ht="15.75" customHeight="1">
      <c r="A94" s="11"/>
      <c r="B94" s="11"/>
    </row>
    <row r="95" ht="15.75" customHeight="1">
      <c r="A95" s="11"/>
      <c r="B95" s="11"/>
    </row>
    <row r="96" ht="15.75" customHeight="1">
      <c r="A96" s="11"/>
      <c r="B96" s="11"/>
    </row>
    <row r="97" ht="15.75" customHeight="1">
      <c r="A97" s="11"/>
      <c r="B97" s="11"/>
    </row>
    <row r="98" ht="15.75" customHeight="1">
      <c r="A98" s="11"/>
      <c r="B98" s="11"/>
    </row>
    <row r="99" ht="15.75" customHeight="1">
      <c r="A99" s="11"/>
      <c r="B99" s="11"/>
    </row>
    <row r="100" ht="15.75" customHeight="1">
      <c r="A100" s="11"/>
      <c r="B100" s="11"/>
    </row>
    <row r="101" ht="15.75" customHeight="1">
      <c r="A101" s="11"/>
      <c r="B101" s="11"/>
    </row>
    <row r="102" ht="15.75" customHeight="1">
      <c r="A102" s="11"/>
      <c r="B102" s="11"/>
    </row>
    <row r="103" ht="15.75" customHeight="1">
      <c r="A103" s="11"/>
      <c r="B103" s="11"/>
    </row>
    <row r="104" ht="15.75" customHeight="1">
      <c r="A104" s="11"/>
      <c r="B104" s="11"/>
    </row>
    <row r="105" ht="15.75" customHeight="1">
      <c r="A105" s="11"/>
      <c r="B105" s="11"/>
    </row>
    <row r="106" ht="15.75" customHeight="1">
      <c r="A106" s="11"/>
      <c r="B106" s="11"/>
    </row>
    <row r="107" ht="15.75" customHeight="1">
      <c r="A107" s="11"/>
      <c r="B107" s="11"/>
    </row>
    <row r="108" ht="15.75" customHeight="1">
      <c r="A108" s="11"/>
      <c r="B108" s="11"/>
    </row>
    <row r="109" ht="15.75" customHeight="1">
      <c r="A109" s="11"/>
      <c r="B109" s="11"/>
    </row>
    <row r="110" ht="15.75" customHeight="1">
      <c r="A110" s="11"/>
      <c r="B110" s="11"/>
    </row>
    <row r="111" ht="15.75" customHeight="1">
      <c r="A111" s="11"/>
      <c r="B111" s="11"/>
    </row>
    <row r="112" ht="15.75" customHeight="1">
      <c r="A112" s="11"/>
      <c r="B112" s="11"/>
    </row>
    <row r="113" ht="15.75" customHeight="1">
      <c r="A113" s="11"/>
      <c r="B113" s="11"/>
    </row>
    <row r="114" ht="15.75" customHeight="1">
      <c r="A114" s="11"/>
      <c r="B114" s="11"/>
    </row>
    <row r="115" ht="15.75" customHeight="1">
      <c r="A115" s="11"/>
      <c r="B115" s="11"/>
    </row>
    <row r="116" ht="15.75" customHeight="1">
      <c r="A116" s="11"/>
      <c r="B116" s="11"/>
    </row>
    <row r="117" ht="15.75" customHeight="1">
      <c r="A117" s="11"/>
      <c r="B117" s="11"/>
    </row>
    <row r="118" ht="15.75" customHeight="1">
      <c r="A118" s="11"/>
      <c r="B118" s="11"/>
    </row>
    <row r="119" ht="15.75" customHeight="1">
      <c r="A119" s="11"/>
      <c r="B119" s="11"/>
    </row>
    <row r="120" ht="15.75" customHeight="1">
      <c r="A120" s="11"/>
      <c r="B120" s="11"/>
    </row>
    <row r="121" ht="15.75" customHeight="1">
      <c r="A121" s="11"/>
      <c r="B121" s="11"/>
    </row>
    <row r="122" ht="15.75" customHeight="1">
      <c r="A122" s="11"/>
      <c r="B122" s="11"/>
    </row>
    <row r="123" ht="15.75" customHeight="1">
      <c r="A123" s="11"/>
      <c r="B123" s="11"/>
    </row>
    <row r="124" ht="15.75" customHeight="1">
      <c r="A124" s="11"/>
      <c r="B124" s="11"/>
    </row>
    <row r="125" ht="15.75" customHeight="1">
      <c r="A125" s="11"/>
      <c r="B125" s="11"/>
    </row>
    <row r="126" ht="15.75" customHeight="1">
      <c r="A126" s="11"/>
      <c r="B126" s="11"/>
    </row>
    <row r="127" ht="15.75" customHeight="1">
      <c r="A127" s="11"/>
      <c r="B127" s="11"/>
    </row>
    <row r="128" ht="15.75" customHeight="1">
      <c r="A128" s="11"/>
      <c r="B128" s="11"/>
    </row>
    <row r="129" ht="15.75" customHeight="1">
      <c r="A129" s="11"/>
      <c r="B129" s="11"/>
    </row>
    <row r="130" ht="15.75" customHeight="1">
      <c r="A130" s="11"/>
      <c r="B130" s="11"/>
    </row>
    <row r="131" ht="15.75" customHeight="1">
      <c r="A131" s="11"/>
      <c r="B131" s="11"/>
    </row>
    <row r="132" ht="15.75" customHeight="1">
      <c r="A132" s="11"/>
      <c r="B132" s="11"/>
    </row>
    <row r="133" ht="15.75" customHeight="1">
      <c r="A133" s="11"/>
      <c r="B133" s="11"/>
    </row>
    <row r="134" ht="15.75" customHeight="1">
      <c r="A134" s="11"/>
      <c r="B134" s="11"/>
    </row>
    <row r="135" ht="15.75" customHeight="1">
      <c r="A135" s="11"/>
      <c r="B135" s="11"/>
    </row>
    <row r="136" ht="15.75" customHeight="1">
      <c r="A136" s="11"/>
      <c r="B136" s="11"/>
    </row>
    <row r="137" ht="15.75" customHeight="1">
      <c r="A137" s="11"/>
      <c r="B137" s="11"/>
    </row>
    <row r="138" ht="15.75" customHeight="1">
      <c r="A138" s="11"/>
      <c r="B138" s="11"/>
    </row>
    <row r="139" ht="15.75" customHeight="1">
      <c r="A139" s="11"/>
      <c r="B139" s="11"/>
    </row>
    <row r="140" ht="15.75" customHeight="1">
      <c r="A140" s="11"/>
      <c r="B140" s="11"/>
    </row>
    <row r="141" ht="15.75" customHeight="1">
      <c r="A141" s="11"/>
      <c r="B141" s="11"/>
    </row>
    <row r="142" ht="15.75" customHeight="1">
      <c r="A142" s="11"/>
      <c r="B142" s="11"/>
    </row>
    <row r="143" ht="15.75" customHeight="1">
      <c r="A143" s="11"/>
      <c r="B143" s="11"/>
    </row>
    <row r="144" ht="15.75" customHeight="1">
      <c r="A144" s="11"/>
      <c r="B144" s="11"/>
    </row>
    <row r="145" ht="15.75" customHeight="1">
      <c r="A145" s="11"/>
      <c r="B145" s="11"/>
    </row>
    <row r="146" ht="15.75" customHeight="1">
      <c r="A146" s="11"/>
      <c r="B146" s="11"/>
    </row>
    <row r="147" ht="15.75" customHeight="1">
      <c r="A147" s="11"/>
      <c r="B147" s="11"/>
    </row>
    <row r="148" ht="15.75" customHeight="1">
      <c r="A148" s="11"/>
      <c r="B148" s="11"/>
    </row>
    <row r="149" ht="15.75" customHeight="1">
      <c r="A149" s="11"/>
      <c r="B149" s="11"/>
    </row>
    <row r="150" ht="15.75" customHeight="1">
      <c r="A150" s="11"/>
      <c r="B150" s="11"/>
    </row>
    <row r="151" ht="15.75" customHeight="1">
      <c r="A151" s="11"/>
      <c r="B151" s="11"/>
    </row>
    <row r="152" ht="15.75" customHeight="1">
      <c r="A152" s="11"/>
      <c r="B152" s="11"/>
    </row>
    <row r="153" ht="15.75" customHeight="1">
      <c r="A153" s="11"/>
      <c r="B153" s="11"/>
    </row>
    <row r="154" ht="15.75" customHeight="1">
      <c r="A154" s="11"/>
      <c r="B154" s="11"/>
    </row>
    <row r="155" ht="15.75" customHeight="1">
      <c r="A155" s="11"/>
      <c r="B155" s="11"/>
    </row>
    <row r="156" ht="15.75" customHeight="1">
      <c r="A156" s="11"/>
      <c r="B156" s="11"/>
    </row>
    <row r="157" ht="15.75" customHeight="1">
      <c r="A157" s="11"/>
      <c r="B157" s="11"/>
    </row>
    <row r="158" ht="15.75" customHeight="1">
      <c r="A158" s="11"/>
      <c r="B158" s="11"/>
    </row>
    <row r="159" ht="15.75" customHeight="1">
      <c r="A159" s="11"/>
      <c r="B159" s="11"/>
    </row>
    <row r="160" ht="15.75" customHeight="1">
      <c r="A160" s="11"/>
      <c r="B160" s="11"/>
    </row>
    <row r="161" ht="15.75" customHeight="1">
      <c r="A161" s="11"/>
      <c r="B161" s="11"/>
    </row>
    <row r="162" ht="15.75" customHeight="1">
      <c r="A162" s="11"/>
      <c r="B162" s="11"/>
    </row>
    <row r="163" ht="15.75" customHeight="1">
      <c r="A163" s="11"/>
      <c r="B163" s="11"/>
    </row>
    <row r="164" ht="15.75" customHeight="1">
      <c r="A164" s="11"/>
      <c r="B164" s="11"/>
    </row>
    <row r="165" ht="15.75" customHeight="1">
      <c r="A165" s="11"/>
      <c r="B165" s="11"/>
    </row>
    <row r="166" ht="15.75" customHeight="1">
      <c r="A166" s="11"/>
      <c r="B166" s="11"/>
    </row>
    <row r="167" ht="15.75" customHeight="1">
      <c r="A167" s="11"/>
      <c r="B167" s="11"/>
    </row>
    <row r="168" ht="15.75" customHeight="1">
      <c r="A168" s="11"/>
      <c r="B168" s="11"/>
    </row>
    <row r="169" ht="15.75" customHeight="1">
      <c r="A169" s="11"/>
      <c r="B169" s="11"/>
    </row>
    <row r="170" ht="15.75" customHeight="1">
      <c r="A170" s="11"/>
      <c r="B170" s="11"/>
    </row>
    <row r="171" ht="15.75" customHeight="1">
      <c r="A171" s="11"/>
      <c r="B171" s="11"/>
    </row>
    <row r="172" ht="15.75" customHeight="1">
      <c r="A172" s="11"/>
      <c r="B172" s="11"/>
    </row>
    <row r="173" ht="15.75" customHeight="1">
      <c r="A173" s="11"/>
      <c r="B173" s="11"/>
    </row>
    <row r="174" ht="15.75" customHeight="1">
      <c r="A174" s="11"/>
      <c r="B174" s="11"/>
    </row>
    <row r="175" ht="15.75" customHeight="1">
      <c r="A175" s="11"/>
      <c r="B175" s="11"/>
    </row>
    <row r="176" ht="15.75" customHeight="1">
      <c r="A176" s="11"/>
      <c r="B176" s="11"/>
    </row>
    <row r="177" ht="15.75" customHeight="1">
      <c r="A177" s="11"/>
      <c r="B177" s="11"/>
    </row>
    <row r="178" ht="15.75" customHeight="1">
      <c r="A178" s="11"/>
      <c r="B178" s="11"/>
    </row>
    <row r="179" ht="15.75" customHeight="1">
      <c r="A179" s="11"/>
      <c r="B179" s="11"/>
    </row>
    <row r="180" ht="15.75" customHeight="1">
      <c r="A180" s="11"/>
      <c r="B180" s="11"/>
    </row>
    <row r="181" ht="15.75" customHeight="1">
      <c r="A181" s="11"/>
      <c r="B181" s="11"/>
    </row>
    <row r="182" ht="15.75" customHeight="1">
      <c r="A182" s="11"/>
      <c r="B182" s="11"/>
    </row>
    <row r="183" ht="15.75" customHeight="1">
      <c r="A183" s="11"/>
      <c r="B183" s="11"/>
    </row>
    <row r="184" ht="15.75" customHeight="1">
      <c r="A184" s="11"/>
      <c r="B184" s="11"/>
    </row>
    <row r="185" ht="15.75" customHeight="1">
      <c r="A185" s="11"/>
      <c r="B185" s="11"/>
    </row>
    <row r="186" ht="15.75" customHeight="1">
      <c r="A186" s="11"/>
      <c r="B186" s="11"/>
    </row>
    <row r="187" ht="15.75" customHeight="1">
      <c r="A187" s="11"/>
      <c r="B187" s="11"/>
    </row>
    <row r="188" ht="15.75" customHeight="1">
      <c r="A188" s="11"/>
      <c r="B188" s="11"/>
    </row>
    <row r="189" ht="15.75" customHeight="1">
      <c r="A189" s="11"/>
      <c r="B189" s="11"/>
    </row>
    <row r="190" ht="15.75" customHeight="1">
      <c r="A190" s="11"/>
      <c r="B190" s="11"/>
    </row>
    <row r="191" ht="15.75" customHeight="1">
      <c r="A191" s="11"/>
      <c r="B191" s="11"/>
    </row>
    <row r="192" ht="15.75" customHeight="1">
      <c r="A192" s="11"/>
      <c r="B192" s="11"/>
    </row>
    <row r="193" ht="15.75" customHeight="1">
      <c r="A193" s="11"/>
      <c r="B193" s="11"/>
    </row>
    <row r="194" ht="15.75" customHeight="1">
      <c r="A194" s="11"/>
      <c r="B194" s="11"/>
    </row>
    <row r="195" ht="15.75" customHeight="1">
      <c r="A195" s="11"/>
      <c r="B195" s="11"/>
    </row>
    <row r="196" ht="15.75" customHeight="1">
      <c r="A196" s="11"/>
      <c r="B196" s="11"/>
    </row>
    <row r="197" ht="15.75" customHeight="1">
      <c r="A197" s="11"/>
      <c r="B197" s="11"/>
    </row>
    <row r="198" ht="15.75" customHeight="1">
      <c r="A198" s="11"/>
      <c r="B198" s="11"/>
    </row>
    <row r="199" ht="15.75" customHeight="1">
      <c r="A199" s="11"/>
      <c r="B199" s="11"/>
    </row>
    <row r="200" ht="15.75" customHeight="1">
      <c r="A200" s="11"/>
      <c r="B200" s="11"/>
    </row>
    <row r="201" ht="15.75" customHeight="1">
      <c r="A201" s="11"/>
      <c r="B201" s="11"/>
    </row>
    <row r="202" ht="15.75" customHeight="1">
      <c r="A202" s="11"/>
      <c r="B202" s="11"/>
    </row>
    <row r="203" ht="15.75" customHeight="1">
      <c r="A203" s="11"/>
      <c r="B203" s="11"/>
    </row>
    <row r="204" ht="15.75" customHeight="1">
      <c r="A204" s="11"/>
      <c r="B204" s="11"/>
    </row>
    <row r="205" ht="15.75" customHeight="1">
      <c r="A205" s="11"/>
      <c r="B205" s="11"/>
    </row>
    <row r="206" ht="15.75" customHeight="1">
      <c r="A206" s="11"/>
      <c r="B206" s="11"/>
    </row>
    <row r="207" ht="15.75" customHeight="1">
      <c r="A207" s="11"/>
      <c r="B207" s="11"/>
    </row>
    <row r="208" ht="15.75" customHeight="1">
      <c r="A208" s="11"/>
      <c r="B208" s="11"/>
    </row>
    <row r="209" ht="15.75" customHeight="1">
      <c r="A209" s="11"/>
      <c r="B209" s="11"/>
    </row>
    <row r="210" ht="15.75" customHeight="1">
      <c r="A210" s="11"/>
      <c r="B210" s="11"/>
    </row>
    <row r="211" ht="15.75" customHeight="1">
      <c r="A211" s="11"/>
      <c r="B211" s="11"/>
    </row>
    <row r="212" ht="15.75" customHeight="1">
      <c r="A212" s="11"/>
      <c r="B212" s="11"/>
    </row>
    <row r="213" ht="15.75" customHeight="1">
      <c r="A213" s="11"/>
      <c r="B213" s="11"/>
    </row>
    <row r="214" ht="15.75" customHeight="1">
      <c r="A214" s="11"/>
      <c r="B214" s="11"/>
    </row>
    <row r="215" ht="15.75" customHeight="1">
      <c r="A215" s="11"/>
      <c r="B215" s="11"/>
    </row>
    <row r="216" ht="15.75" customHeight="1">
      <c r="A216" s="11"/>
      <c r="B216" s="11"/>
    </row>
    <row r="217" ht="15.75" customHeight="1">
      <c r="A217" s="11"/>
      <c r="B217" s="11"/>
    </row>
    <row r="218" ht="15.75" customHeight="1">
      <c r="A218" s="11"/>
      <c r="B218" s="11"/>
    </row>
    <row r="219" ht="15.75" customHeight="1">
      <c r="A219" s="11"/>
      <c r="B219" s="11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7.86"/>
    <col customWidth="1" min="3" max="6" width="8.57"/>
    <col customWidth="1" min="7" max="26" width="17.43"/>
  </cols>
  <sheetData>
    <row r="1" ht="15.75" customHeight="1">
      <c r="A1" s="1" t="s">
        <v>1086</v>
      </c>
      <c r="B1" s="3"/>
      <c r="K1" s="9" t="s">
        <v>1088</v>
      </c>
      <c r="M1" s="23"/>
    </row>
    <row r="2" ht="15.75" customHeight="1">
      <c r="A2" s="2" t="str">
        <f>IFERROR(__xludf.DUMMYFUNCTION("QUERY(Data!A:O, ""Select L, sum(N) group by L order by sum(N) desc"", 1)"),"PrimaryActivity")</f>
        <v>PrimaryActivity</v>
      </c>
      <c r="B2" s="3" t="str">
        <f>IFERROR(__xludf.DUMMYFUNCTION("""COMPUTED_VALUE"""),"sum Killed")</f>
        <v>sum Killed</v>
      </c>
      <c r="D2" s="19"/>
      <c r="E2" s="11"/>
      <c r="K2" s="2" t="str">
        <f>IFERROR(__xludf.DUMMYFUNCTION("QUERY(Data!A:O, ""Select L, sum(N) where A &gt; 2013 group by L order by sum(N) desc"", 1)"),"PrimaryActivity")</f>
        <v>PrimaryActivity</v>
      </c>
      <c r="L2" s="2" t="str">
        <f>IFERROR(__xludf.DUMMYFUNCTION("""COMPUTED_VALUE"""),"sum Killed")</f>
        <v>sum Killed</v>
      </c>
      <c r="M2" s="23"/>
    </row>
    <row r="3" ht="15.75" customHeight="1">
      <c r="A3" s="3" t="str">
        <f>IFERROR(__xludf.DUMMYFUNCTION("""COMPUTED_VALUE"""),"Backcountry Tourer")</f>
        <v>Backcountry Tourer</v>
      </c>
      <c r="B3" s="3">
        <f>IFERROR(__xludf.DUMMYFUNCTION("""COMPUTED_VALUE"""),318.0)</f>
        <v>318</v>
      </c>
      <c r="D3" s="19"/>
      <c r="E3" s="11"/>
      <c r="K3" s="2" t="str">
        <f>IFERROR(__xludf.DUMMYFUNCTION("""COMPUTED_VALUE"""),"Snowmobiler")</f>
        <v>Snowmobiler</v>
      </c>
      <c r="L3" s="2">
        <f>IFERROR(__xludf.DUMMYFUNCTION("""COMPUTED_VALUE"""),80.0)</f>
        <v>80</v>
      </c>
      <c r="M3" s="23"/>
    </row>
    <row r="4" ht="15.75" customHeight="1">
      <c r="A4" s="3" t="str">
        <f>IFERROR(__xludf.DUMMYFUNCTION("""COMPUTED_VALUE"""),"Snowmobiler")</f>
        <v>Snowmobiler</v>
      </c>
      <c r="B4" s="3">
        <f>IFERROR(__xludf.DUMMYFUNCTION("""COMPUTED_VALUE"""),304.0)</f>
        <v>304</v>
      </c>
      <c r="D4" s="19"/>
      <c r="E4" s="11"/>
      <c r="K4" s="2" t="str">
        <f>IFERROR(__xludf.DUMMYFUNCTION("""COMPUTED_VALUE"""),"Backcountry Tourer")</f>
        <v>Backcountry Tourer</v>
      </c>
      <c r="L4" s="2">
        <f>IFERROR(__xludf.DUMMYFUNCTION("""COMPUTED_VALUE"""),79.0)</f>
        <v>79</v>
      </c>
      <c r="M4" s="23"/>
    </row>
    <row r="5" ht="15.75" customHeight="1">
      <c r="A5" s="3" t="str">
        <f>IFERROR(__xludf.DUMMYFUNCTION("""COMPUTED_VALUE"""),"Climber")</f>
        <v>Climber</v>
      </c>
      <c r="B5" s="3">
        <f>IFERROR(__xludf.DUMMYFUNCTION("""COMPUTED_VALUE"""),193.0)</f>
        <v>193</v>
      </c>
      <c r="D5" s="19"/>
      <c r="E5" s="11"/>
      <c r="K5" s="2" t="str">
        <f>IFERROR(__xludf.DUMMYFUNCTION("""COMPUTED_VALUE"""),"Sidecountry Rider")</f>
        <v>Sidecountry Rider</v>
      </c>
      <c r="L5" s="2">
        <f>IFERROR(__xludf.DUMMYFUNCTION("""COMPUTED_VALUE"""),23.0)</f>
        <v>23</v>
      </c>
      <c r="M5" s="23"/>
    </row>
    <row r="6" ht="15.75" customHeight="1">
      <c r="A6" s="3" t="str">
        <f>IFERROR(__xludf.DUMMYFUNCTION("""COMPUTED_VALUE"""),"Sidecountry Rider")</f>
        <v>Sidecountry Rider</v>
      </c>
      <c r="B6" s="3">
        <f>IFERROR(__xludf.DUMMYFUNCTION("""COMPUTED_VALUE"""),115.0)</f>
        <v>115</v>
      </c>
      <c r="D6" s="19"/>
      <c r="E6" s="11"/>
      <c r="K6" s="2" t="str">
        <f>IFERROR(__xludf.DUMMYFUNCTION("""COMPUTED_VALUE"""),"Climber")</f>
        <v>Climber</v>
      </c>
      <c r="L6" s="2">
        <f>IFERROR(__xludf.DUMMYFUNCTION("""COMPUTED_VALUE"""),20.0)</f>
        <v>20</v>
      </c>
      <c r="M6" s="23"/>
    </row>
    <row r="7" ht="15.75" customHeight="1">
      <c r="A7" s="3" t="str">
        <f>IFERROR(__xludf.DUMMYFUNCTION("""COMPUTED_VALUE"""),"Hiker")</f>
        <v>Hiker</v>
      </c>
      <c r="B7" s="3">
        <f>IFERROR(__xludf.DUMMYFUNCTION("""COMPUTED_VALUE"""),60.0)</f>
        <v>60</v>
      </c>
      <c r="D7" s="19"/>
      <c r="E7" s="11"/>
      <c r="K7" s="2" t="str">
        <f>IFERROR(__xludf.DUMMYFUNCTION("""COMPUTED_VALUE"""),"Resident")</f>
        <v>Resident</v>
      </c>
      <c r="L7" s="2">
        <f>IFERROR(__xludf.DUMMYFUNCTION("""COMPUTED_VALUE"""),11.0)</f>
        <v>11</v>
      </c>
      <c r="M7" s="23"/>
    </row>
    <row r="8" ht="15.75" customHeight="1">
      <c r="A8" s="3" t="str">
        <f>IFERROR(__xludf.DUMMYFUNCTION("""COMPUTED_VALUE"""),"Inbounds Rider")</f>
        <v>Inbounds Rider</v>
      </c>
      <c r="B8" s="3">
        <f>IFERROR(__xludf.DUMMYFUNCTION("""COMPUTED_VALUE"""),51.0)</f>
        <v>51</v>
      </c>
      <c r="D8" s="19"/>
      <c r="E8" s="11"/>
      <c r="K8" s="2" t="str">
        <f>IFERROR(__xludf.DUMMYFUNCTION("""COMPUTED_VALUE"""),"Hiker")</f>
        <v>Hiker</v>
      </c>
      <c r="L8" s="2">
        <f>IFERROR(__xludf.DUMMYFUNCTION("""COMPUTED_VALUE"""),8.0)</f>
        <v>8</v>
      </c>
      <c r="M8" s="23"/>
    </row>
    <row r="9" ht="15.75" customHeight="1">
      <c r="A9" s="3" t="str">
        <f>IFERROR(__xludf.DUMMYFUNCTION("""COMPUTED_VALUE"""),"Resident")</f>
        <v>Resident</v>
      </c>
      <c r="B9" s="3">
        <f>IFERROR(__xludf.DUMMYFUNCTION("""COMPUTED_VALUE"""),43.0)</f>
        <v>43</v>
      </c>
      <c r="D9" s="19"/>
      <c r="E9" s="11"/>
      <c r="K9" s="2" t="str">
        <f>IFERROR(__xludf.DUMMYFUNCTION("""COMPUTED_VALUE"""),"Inbounds Rider")</f>
        <v>Inbounds Rider</v>
      </c>
      <c r="L9" s="2">
        <f>IFERROR(__xludf.DUMMYFUNCTION("""COMPUTED_VALUE"""),7.0)</f>
        <v>7</v>
      </c>
      <c r="M9" s="23"/>
    </row>
    <row r="10" ht="15.75" customHeight="1">
      <c r="A10" s="3" t="str">
        <f>IFERROR(__xludf.DUMMYFUNCTION("""COMPUTED_VALUE"""),"Ski Patroller")</f>
        <v>Ski Patroller</v>
      </c>
      <c r="B10" s="3">
        <f>IFERROR(__xludf.DUMMYFUNCTION("""COMPUTED_VALUE"""),26.0)</f>
        <v>26</v>
      </c>
      <c r="D10" s="19"/>
      <c r="E10" s="11"/>
      <c r="K10" s="2" t="str">
        <f>IFERROR(__xludf.DUMMYFUNCTION("""COMPUTED_VALUE"""),"Mechanized Guide")</f>
        <v>Mechanized Guide</v>
      </c>
      <c r="L10" s="2">
        <f>IFERROR(__xludf.DUMMYFUNCTION("""COMPUTED_VALUE"""),3.0)</f>
        <v>3</v>
      </c>
      <c r="M10" s="23"/>
    </row>
    <row r="11" ht="15.75" customHeight="1">
      <c r="A11" s="3" t="str">
        <f>IFERROR(__xludf.DUMMYFUNCTION("""COMPUTED_VALUE"""),"Others at Work")</f>
        <v>Others at Work</v>
      </c>
      <c r="B11" s="3">
        <f>IFERROR(__xludf.DUMMYFUNCTION("""COMPUTED_VALUE"""),17.0)</f>
        <v>17</v>
      </c>
      <c r="D11" s="19"/>
      <c r="E11" s="11"/>
      <c r="K11" s="2" t="str">
        <f>IFERROR(__xludf.DUMMYFUNCTION("""COMPUTED_VALUE"""),"Snowbiker")</f>
        <v>Snowbiker</v>
      </c>
      <c r="L11" s="2">
        <f>IFERROR(__xludf.DUMMYFUNCTION("""COMPUTED_VALUE"""),3.0)</f>
        <v>3</v>
      </c>
      <c r="M11" s="23"/>
    </row>
    <row r="12" ht="15.75" customHeight="1">
      <c r="A12" s="3" t="str">
        <f>IFERROR(__xludf.DUMMYFUNCTION("""COMPUTED_VALUE"""),"Highway Personnel")</f>
        <v>Highway Personnel</v>
      </c>
      <c r="B12" s="3">
        <f>IFERROR(__xludf.DUMMYFUNCTION("""COMPUTED_VALUE"""),14.0)</f>
        <v>14</v>
      </c>
      <c r="D12" s="19"/>
      <c r="E12" s="11"/>
      <c r="K12" s="2" t="str">
        <f>IFERROR(__xludf.DUMMYFUNCTION("""COMPUTED_VALUE"""),"Human-powered Guide Client")</f>
        <v>Human-powered Guide Client</v>
      </c>
      <c r="L12" s="2">
        <f>IFERROR(__xludf.DUMMYFUNCTION("""COMPUTED_VALUE"""),2.0)</f>
        <v>2</v>
      </c>
      <c r="M12" s="23"/>
    </row>
    <row r="13" ht="15.75" customHeight="1">
      <c r="A13" s="3" t="str">
        <f>IFERROR(__xludf.DUMMYFUNCTION("""COMPUTED_VALUE"""),"Snowplayer")</f>
        <v>Snowplayer</v>
      </c>
      <c r="B13" s="3">
        <f>IFERROR(__xludf.DUMMYFUNCTION("""COMPUTED_VALUE"""),14.0)</f>
        <v>14</v>
      </c>
      <c r="D13" s="19"/>
      <c r="E13" s="11"/>
      <c r="K13" s="2" t="str">
        <f>IFERROR(__xludf.DUMMYFUNCTION("""COMPUTED_VALUE"""),"Hybrid Rider")</f>
        <v>Hybrid Rider</v>
      </c>
      <c r="L13" s="2">
        <f>IFERROR(__xludf.DUMMYFUNCTION("""COMPUTED_VALUE"""),2.0)</f>
        <v>2</v>
      </c>
      <c r="M13" s="23"/>
    </row>
    <row r="14" ht="15.75" customHeight="1">
      <c r="A14" s="3" t="str">
        <f>IFERROR(__xludf.DUMMYFUNCTION("""COMPUTED_VALUE"""),"Motorist")</f>
        <v>Motorist</v>
      </c>
      <c r="B14" s="3">
        <f>IFERROR(__xludf.DUMMYFUNCTION("""COMPUTED_VALUE"""),13.0)</f>
        <v>13</v>
      </c>
      <c r="D14" s="19"/>
      <c r="E14" s="11"/>
      <c r="K14" s="2" t="str">
        <f>IFERROR(__xludf.DUMMYFUNCTION("""COMPUTED_VALUE"""),"Hybrid Tourer")</f>
        <v>Hybrid Tourer</v>
      </c>
      <c r="L14" s="2">
        <f>IFERROR(__xludf.DUMMYFUNCTION("""COMPUTED_VALUE"""),1.0)</f>
        <v>1</v>
      </c>
      <c r="M14" s="23"/>
    </row>
    <row r="15" ht="15.75" customHeight="1">
      <c r="A15" s="3" t="str">
        <f>IFERROR(__xludf.DUMMYFUNCTION("""COMPUTED_VALUE"""),"Hunter")</f>
        <v>Hunter</v>
      </c>
      <c r="B15" s="3">
        <f>IFERROR(__xludf.DUMMYFUNCTION("""COMPUTED_VALUE"""),7.0)</f>
        <v>7</v>
      </c>
      <c r="D15" s="19"/>
      <c r="E15" s="11"/>
      <c r="K15" s="2" t="str">
        <f>IFERROR(__xludf.DUMMYFUNCTION("""COMPUTED_VALUE"""),"Mechanised Guide")</f>
        <v>Mechanised Guide</v>
      </c>
      <c r="L15" s="2">
        <f>IFERROR(__xludf.DUMMYFUNCTION("""COMPUTED_VALUE"""),1.0)</f>
        <v>1</v>
      </c>
      <c r="M15" s="23"/>
    </row>
    <row r="16" ht="15.75" customHeight="1">
      <c r="A16" s="3" t="str">
        <f>IFERROR(__xludf.DUMMYFUNCTION("""COMPUTED_VALUE"""),"Mechanized Guide")</f>
        <v>Mechanized Guide</v>
      </c>
      <c r="B16" s="3">
        <f>IFERROR(__xludf.DUMMYFUNCTION("""COMPUTED_VALUE"""),7.0)</f>
        <v>7</v>
      </c>
      <c r="D16" s="19"/>
      <c r="E16" s="11"/>
      <c r="K16" s="2" t="str">
        <f>IFERROR(__xludf.DUMMYFUNCTION("""COMPUTED_VALUE"""),"Mechanized Guided Client")</f>
        <v>Mechanized Guided Client</v>
      </c>
      <c r="L16" s="2">
        <f>IFERROR(__xludf.DUMMYFUNCTION("""COMPUTED_VALUE"""),1.0)</f>
        <v>1</v>
      </c>
      <c r="M16" s="23"/>
    </row>
    <row r="17" ht="15.75" customHeight="1">
      <c r="A17" s="3" t="str">
        <f>IFERROR(__xludf.DUMMYFUNCTION("""COMPUTED_VALUE"""),"Mechanized Guiding Client")</f>
        <v>Mechanized Guiding Client</v>
      </c>
      <c r="B17" s="3">
        <f>IFERROR(__xludf.DUMMYFUNCTION("""COMPUTED_VALUE"""),5.0)</f>
        <v>5</v>
      </c>
      <c r="D17" s="19"/>
      <c r="E17" s="11"/>
      <c r="K17" s="2" t="str">
        <f>IFERROR(__xludf.DUMMYFUNCTION("""COMPUTED_VALUE"""),"Motorized Guided client")</f>
        <v>Motorized Guided client</v>
      </c>
      <c r="L17" s="2">
        <f>IFERROR(__xludf.DUMMYFUNCTION("""COMPUTED_VALUE"""),1.0)</f>
        <v>1</v>
      </c>
      <c r="M17" s="23"/>
    </row>
    <row r="18" ht="15.75" customHeight="1">
      <c r="A18" s="3" t="str">
        <f>IFERROR(__xludf.DUMMYFUNCTION("""COMPUTED_VALUE"""),"Misc Recreation")</f>
        <v>Misc Recreation</v>
      </c>
      <c r="B18" s="3">
        <f>IFERROR(__xludf.DUMMYFUNCTION("""COMPUTED_VALUE"""),5.0)</f>
        <v>5</v>
      </c>
      <c r="D18" s="19"/>
      <c r="E18" s="11"/>
      <c r="K18" s="2" t="str">
        <f>IFERROR(__xludf.DUMMYFUNCTION("""COMPUTED_VALUE"""),"Ski Patroller")</f>
        <v>Ski Patroller</v>
      </c>
      <c r="L18" s="2">
        <f>IFERROR(__xludf.DUMMYFUNCTION("""COMPUTED_VALUE"""),1.0)</f>
        <v>1</v>
      </c>
      <c r="M18" s="23"/>
    </row>
    <row r="19" ht="15.75" customHeight="1">
      <c r="A19" s="3" t="str">
        <f>IFERROR(__xludf.DUMMYFUNCTION("""COMPUTED_VALUE"""),"Rescuer")</f>
        <v>Rescuer</v>
      </c>
      <c r="B19" s="3">
        <f>IFERROR(__xludf.DUMMYFUNCTION("""COMPUTED_VALUE"""),5.0)</f>
        <v>5</v>
      </c>
      <c r="K19" s="2" t="str">
        <f>IFERROR(__xludf.DUMMYFUNCTION("""COMPUTED_VALUE"""),"Snowplayer")</f>
        <v>Snowplayer</v>
      </c>
      <c r="L19" s="2">
        <f>IFERROR(__xludf.DUMMYFUNCTION("""COMPUTED_VALUE"""),1.0)</f>
        <v>1</v>
      </c>
      <c r="M19" s="23"/>
    </row>
    <row r="20" ht="15.75" customHeight="1">
      <c r="A20" s="3" t="str">
        <f>IFERROR(__xludf.DUMMYFUNCTION("""COMPUTED_VALUE"""),"Hybrid Rider")</f>
        <v>Hybrid Rider</v>
      </c>
      <c r="B20" s="3">
        <f>IFERROR(__xludf.DUMMYFUNCTION("""COMPUTED_VALUE"""),4.0)</f>
        <v>4</v>
      </c>
      <c r="M20" s="23"/>
    </row>
    <row r="21" ht="15.75" customHeight="1">
      <c r="A21" s="3" t="str">
        <f>IFERROR(__xludf.DUMMYFUNCTION("""COMPUTED_VALUE"""),"Miner")</f>
        <v>Miner</v>
      </c>
      <c r="B21" s="3">
        <f>IFERROR(__xludf.DUMMYFUNCTION("""COMPUTED_VALUE"""),4.0)</f>
        <v>4</v>
      </c>
      <c r="M21" s="23"/>
    </row>
    <row r="22" ht="15.75" customHeight="1">
      <c r="A22" s="3" t="str">
        <f>IFERROR(__xludf.DUMMYFUNCTION("""COMPUTED_VALUE"""),"Snowbiker")</f>
        <v>Snowbiker</v>
      </c>
      <c r="B22" s="3">
        <f>IFERROR(__xludf.DUMMYFUNCTION("""COMPUTED_VALUE"""),4.0)</f>
        <v>4</v>
      </c>
      <c r="L22" s="2">
        <f>sum(L3:L19)</f>
        <v>244</v>
      </c>
      <c r="M22" s="23"/>
    </row>
    <row r="23" ht="15.75" customHeight="1">
      <c r="A23" s="3" t="str">
        <f>IFERROR(__xludf.DUMMYFUNCTION("""COMPUTED_VALUE"""),"Human-powered Guide Client")</f>
        <v>Human-powered Guide Client</v>
      </c>
      <c r="B23" s="3">
        <f>IFERROR(__xludf.DUMMYFUNCTION("""COMPUTED_VALUE"""),2.0)</f>
        <v>2</v>
      </c>
      <c r="M23" s="23"/>
    </row>
    <row r="24" ht="15.75" customHeight="1">
      <c r="A24" s="3" t="str">
        <f>IFERROR(__xludf.DUMMYFUNCTION("""COMPUTED_VALUE"""),"Hybrid Tourer")</f>
        <v>Hybrid Tourer</v>
      </c>
      <c r="B24" s="3">
        <f>IFERROR(__xludf.DUMMYFUNCTION("""COMPUTED_VALUE"""),1.0)</f>
        <v>1</v>
      </c>
      <c r="M24" s="23"/>
    </row>
    <row r="25" ht="15.75" customHeight="1">
      <c r="A25" s="3" t="str">
        <f>IFERROR(__xludf.DUMMYFUNCTION("""COMPUTED_VALUE"""),"Mechanised Guide")</f>
        <v>Mechanised Guide</v>
      </c>
      <c r="B25" s="3">
        <f>IFERROR(__xludf.DUMMYFUNCTION("""COMPUTED_VALUE"""),1.0)</f>
        <v>1</v>
      </c>
      <c r="M25" s="23"/>
    </row>
    <row r="26" ht="15.75" customHeight="1">
      <c r="A26" s="3" t="str">
        <f>IFERROR(__xludf.DUMMYFUNCTION("""COMPUTED_VALUE"""),"Mechanized Guided Client")</f>
        <v>Mechanized Guided Client</v>
      </c>
      <c r="B26" s="3">
        <f>IFERROR(__xludf.DUMMYFUNCTION("""COMPUTED_VALUE"""),1.0)</f>
        <v>1</v>
      </c>
      <c r="M26" s="23"/>
    </row>
    <row r="27" ht="15.75" customHeight="1">
      <c r="A27" s="3" t="str">
        <f>IFERROR(__xludf.DUMMYFUNCTION("""COMPUTED_VALUE"""),"Motorized Guided client")</f>
        <v>Motorized Guided client</v>
      </c>
      <c r="B27" s="3">
        <f>IFERROR(__xludf.DUMMYFUNCTION("""COMPUTED_VALUE"""),1.0)</f>
        <v>1</v>
      </c>
      <c r="M27" s="23"/>
    </row>
    <row r="28" ht="15.75" customHeight="1">
      <c r="A28" s="3" t="str">
        <f>IFERROR(__xludf.DUMMYFUNCTION("""COMPUTED_VALUE"""),"Ranger")</f>
        <v>Ranger</v>
      </c>
      <c r="B28" s="3">
        <f>IFERROR(__xludf.DUMMYFUNCTION("""COMPUTED_VALUE"""),1.0)</f>
        <v>1</v>
      </c>
      <c r="M28" s="23"/>
    </row>
    <row r="29" ht="15.75" customHeight="1">
      <c r="A29" s="3"/>
      <c r="B29" s="3"/>
      <c r="M29" s="23"/>
    </row>
    <row r="30" ht="15.75" customHeight="1">
      <c r="A30" s="3"/>
      <c r="B30" s="3"/>
      <c r="M30" s="23"/>
    </row>
    <row r="31" ht="15.75" customHeight="1">
      <c r="A31" s="3"/>
      <c r="B31" s="3"/>
      <c r="M31" s="23"/>
    </row>
    <row r="32" ht="15.75" customHeight="1">
      <c r="A32" s="3"/>
      <c r="B32" s="3"/>
      <c r="M32" s="23"/>
    </row>
    <row r="33" ht="15.75" customHeight="1">
      <c r="A33" s="3"/>
      <c r="B33" s="3"/>
      <c r="M33" s="23"/>
    </row>
    <row r="34" ht="15.75" customHeight="1">
      <c r="A34" s="3"/>
      <c r="B34" s="3"/>
      <c r="M34" s="23"/>
    </row>
    <row r="35" ht="15.75" customHeight="1">
      <c r="A35" s="3"/>
      <c r="B35" s="3"/>
      <c r="M35" s="23"/>
    </row>
    <row r="36" ht="15.75" customHeight="1">
      <c r="A36" s="3"/>
      <c r="B36" s="3"/>
      <c r="M36" s="23"/>
    </row>
    <row r="37" ht="15.75" customHeight="1">
      <c r="A37" s="3"/>
      <c r="B37" s="3"/>
      <c r="M37" s="23"/>
    </row>
    <row r="38" ht="15.75" customHeight="1">
      <c r="A38" s="3"/>
      <c r="B38" s="3"/>
      <c r="M38" s="23"/>
    </row>
    <row r="39" ht="15.75" customHeight="1">
      <c r="A39" s="3"/>
      <c r="B39" s="3"/>
      <c r="M39" s="23"/>
    </row>
    <row r="40" ht="15.75" customHeight="1">
      <c r="A40" s="3"/>
      <c r="B40" s="3"/>
      <c r="M40" s="23"/>
    </row>
    <row r="41" ht="15.75" customHeight="1">
      <c r="A41" s="3"/>
      <c r="B41" s="3"/>
      <c r="M41" s="23"/>
    </row>
    <row r="42" ht="15.75" customHeight="1">
      <c r="A42" s="3"/>
      <c r="B42" s="3"/>
      <c r="M42" s="23"/>
    </row>
    <row r="43" ht="15.75" customHeight="1">
      <c r="A43" s="3"/>
      <c r="B43" s="3"/>
      <c r="M43" s="23"/>
    </row>
    <row r="44" ht="15.75" customHeight="1">
      <c r="A44" s="3"/>
      <c r="B44" s="3"/>
      <c r="M44" s="23"/>
    </row>
    <row r="45" ht="15.75" customHeight="1">
      <c r="A45" s="3"/>
      <c r="B45" s="3"/>
      <c r="M45" s="23"/>
    </row>
    <row r="46" ht="15.75" customHeight="1">
      <c r="A46" s="3"/>
      <c r="B46" s="3"/>
      <c r="M46" s="23"/>
    </row>
    <row r="47" ht="15.75" customHeight="1">
      <c r="A47" s="3"/>
      <c r="B47" s="3"/>
      <c r="M47" s="23"/>
    </row>
    <row r="48" ht="15.75" customHeight="1">
      <c r="A48" s="3"/>
      <c r="B48" s="3"/>
      <c r="M48" s="23"/>
    </row>
    <row r="49" ht="15.75" customHeight="1">
      <c r="A49" s="3"/>
      <c r="B49" s="3"/>
      <c r="M49" s="23"/>
    </row>
    <row r="50" ht="15.75" customHeight="1">
      <c r="A50" s="3"/>
      <c r="B50" s="3"/>
      <c r="M50" s="23"/>
    </row>
    <row r="51" ht="15.75" customHeight="1">
      <c r="A51" s="3"/>
      <c r="B51" s="3"/>
      <c r="M51" s="23"/>
    </row>
    <row r="52" ht="15.75" customHeight="1">
      <c r="A52" s="3"/>
      <c r="B52" s="3"/>
      <c r="M52" s="23"/>
    </row>
    <row r="53" ht="15.75" customHeight="1">
      <c r="A53" s="3"/>
      <c r="B53" s="3"/>
      <c r="M53" s="23"/>
    </row>
    <row r="54" ht="15.75" customHeight="1">
      <c r="A54" s="3"/>
      <c r="B54" s="3"/>
      <c r="M54" s="23"/>
    </row>
    <row r="55" ht="15.75" customHeight="1">
      <c r="A55" s="3"/>
      <c r="B55" s="3"/>
      <c r="M55" s="23"/>
    </row>
    <row r="56" ht="15.75" customHeight="1">
      <c r="A56" s="3"/>
      <c r="B56" s="3"/>
      <c r="M56" s="23"/>
    </row>
    <row r="57" ht="15.75" customHeight="1">
      <c r="A57" s="3"/>
      <c r="B57" s="3"/>
      <c r="M57" s="23"/>
    </row>
    <row r="58" ht="15.75" customHeight="1">
      <c r="A58" s="3"/>
      <c r="B58" s="3"/>
      <c r="M58" s="23"/>
    </row>
    <row r="59" ht="15.75" customHeight="1">
      <c r="A59" s="3"/>
      <c r="B59" s="3"/>
      <c r="M59" s="23"/>
    </row>
    <row r="60" ht="15.75" customHeight="1">
      <c r="A60" s="3"/>
      <c r="B60" s="3"/>
      <c r="M60" s="23"/>
    </row>
    <row r="61" ht="15.75" customHeight="1">
      <c r="A61" s="3"/>
      <c r="B61" s="3"/>
      <c r="M61" s="23"/>
    </row>
    <row r="62" ht="15.75" customHeight="1">
      <c r="A62" s="3"/>
      <c r="B62" s="3"/>
      <c r="M62" s="23"/>
    </row>
    <row r="63" ht="15.75" customHeight="1">
      <c r="A63" s="3"/>
      <c r="B63" s="3"/>
      <c r="M63" s="23"/>
    </row>
    <row r="64" ht="15.75" customHeight="1">
      <c r="A64" s="3"/>
      <c r="B64" s="3"/>
      <c r="M64" s="23"/>
    </row>
    <row r="65" ht="15.75" customHeight="1">
      <c r="A65" s="3"/>
      <c r="B65" s="3"/>
      <c r="M65" s="23"/>
    </row>
    <row r="66" ht="15.75" customHeight="1">
      <c r="A66" s="3"/>
      <c r="B66" s="3"/>
      <c r="M66" s="23"/>
    </row>
    <row r="67" ht="15.75" customHeight="1">
      <c r="A67" s="3"/>
      <c r="B67" s="3"/>
      <c r="M67" s="23"/>
    </row>
    <row r="68" ht="15.75" customHeight="1">
      <c r="A68" s="3"/>
      <c r="B68" s="3"/>
      <c r="M68" s="23"/>
    </row>
    <row r="69" ht="15.75" customHeight="1">
      <c r="A69" s="3"/>
      <c r="B69" s="3"/>
      <c r="M69" s="23"/>
    </row>
    <row r="70" ht="15.75" customHeight="1">
      <c r="A70" s="3"/>
      <c r="B70" s="3"/>
      <c r="M70" s="23"/>
    </row>
    <row r="71" ht="15.75" customHeight="1">
      <c r="A71" s="3"/>
      <c r="B71" s="3"/>
      <c r="M71" s="23"/>
    </row>
    <row r="72" ht="15.75" customHeight="1">
      <c r="A72" s="3"/>
      <c r="B72" s="3"/>
      <c r="M72" s="23"/>
    </row>
    <row r="73" ht="15.75" customHeight="1">
      <c r="A73" s="3"/>
      <c r="B73" s="3"/>
      <c r="M73" s="23"/>
    </row>
    <row r="74" ht="15.75" customHeight="1">
      <c r="A74" s="3"/>
      <c r="B74" s="3"/>
      <c r="M74" s="23"/>
    </row>
    <row r="75" ht="15.75" customHeight="1">
      <c r="A75" s="3"/>
      <c r="B75" s="3"/>
      <c r="M75" s="23"/>
    </row>
    <row r="76" ht="15.75" customHeight="1">
      <c r="A76" s="3"/>
      <c r="B76" s="3"/>
      <c r="M76" s="23"/>
    </row>
    <row r="77" ht="15.75" customHeight="1">
      <c r="A77" s="3"/>
      <c r="B77" s="3"/>
      <c r="M77" s="23"/>
    </row>
    <row r="78" ht="15.75" customHeight="1">
      <c r="A78" s="3"/>
      <c r="B78" s="3"/>
      <c r="M78" s="23"/>
    </row>
    <row r="79" ht="15.75" customHeight="1">
      <c r="A79" s="3"/>
      <c r="B79" s="3"/>
      <c r="M79" s="23"/>
    </row>
    <row r="80" ht="15.75" customHeight="1">
      <c r="A80" s="3"/>
      <c r="B80" s="3"/>
      <c r="M80" s="23"/>
    </row>
    <row r="81" ht="15.75" customHeight="1">
      <c r="A81" s="3"/>
      <c r="B81" s="3"/>
      <c r="M81" s="23"/>
    </row>
    <row r="82" ht="15.75" customHeight="1">
      <c r="A82" s="3"/>
      <c r="B82" s="3"/>
      <c r="M82" s="23"/>
    </row>
    <row r="83" ht="15.75" customHeight="1">
      <c r="A83" s="3"/>
      <c r="B83" s="3"/>
      <c r="M83" s="23"/>
    </row>
    <row r="84" ht="15.75" customHeight="1">
      <c r="A84" s="3"/>
      <c r="B84" s="3"/>
      <c r="M84" s="23"/>
    </row>
    <row r="85" ht="15.75" customHeight="1">
      <c r="A85" s="3"/>
      <c r="B85" s="3"/>
      <c r="M85" s="23"/>
    </row>
    <row r="86" ht="15.75" customHeight="1">
      <c r="A86" s="3"/>
      <c r="B86" s="3"/>
      <c r="M86" s="23"/>
    </row>
    <row r="87" ht="15.75" customHeight="1">
      <c r="A87" s="3"/>
      <c r="B87" s="3"/>
      <c r="M87" s="23"/>
    </row>
    <row r="88" ht="15.75" customHeight="1">
      <c r="A88" s="3"/>
      <c r="B88" s="3"/>
      <c r="M88" s="23"/>
    </row>
    <row r="89" ht="15.75" customHeight="1">
      <c r="A89" s="3"/>
      <c r="B89" s="3"/>
      <c r="M89" s="23"/>
    </row>
    <row r="90" ht="15.75" customHeight="1">
      <c r="A90" s="3"/>
      <c r="B90" s="3"/>
      <c r="M90" s="23"/>
    </row>
    <row r="91" ht="15.75" customHeight="1">
      <c r="A91" s="3"/>
      <c r="B91" s="3"/>
      <c r="M91" s="23"/>
    </row>
    <row r="92" ht="15.75" customHeight="1">
      <c r="A92" s="3"/>
      <c r="B92" s="3"/>
      <c r="M92" s="23"/>
    </row>
    <row r="93" ht="15.75" customHeight="1">
      <c r="A93" s="3"/>
      <c r="B93" s="3"/>
      <c r="M93" s="23"/>
    </row>
    <row r="94" ht="15.75" customHeight="1">
      <c r="A94" s="3"/>
      <c r="B94" s="3"/>
      <c r="M94" s="23"/>
    </row>
    <row r="95" ht="15.75" customHeight="1">
      <c r="A95" s="3"/>
      <c r="B95" s="3"/>
      <c r="M95" s="23"/>
    </row>
    <row r="96" ht="15.75" customHeight="1">
      <c r="A96" s="3"/>
      <c r="B96" s="3"/>
      <c r="M96" s="23"/>
    </row>
    <row r="97" ht="15.75" customHeight="1">
      <c r="A97" s="3"/>
      <c r="B97" s="3"/>
      <c r="M97" s="23"/>
    </row>
    <row r="98" ht="15.75" customHeight="1">
      <c r="A98" s="3"/>
      <c r="B98" s="3"/>
      <c r="M98" s="23"/>
    </row>
    <row r="99" ht="15.75" customHeight="1">
      <c r="A99" s="3"/>
      <c r="B99" s="3"/>
      <c r="M99" s="23"/>
    </row>
    <row r="100" ht="15.75" customHeight="1">
      <c r="A100" s="3"/>
      <c r="B100" s="3"/>
      <c r="M100" s="23"/>
    </row>
    <row r="101" ht="15.75" customHeight="1">
      <c r="A101" s="3"/>
      <c r="B101" s="3"/>
      <c r="M101" s="23"/>
    </row>
    <row r="102" ht="15.75" customHeight="1">
      <c r="A102" s="3"/>
      <c r="B102" s="3"/>
      <c r="M102" s="23"/>
    </row>
    <row r="103" ht="15.75" customHeight="1">
      <c r="A103" s="3"/>
      <c r="B103" s="3"/>
      <c r="M103" s="23"/>
    </row>
    <row r="104" ht="15.75" customHeight="1">
      <c r="A104" s="3"/>
      <c r="B104" s="3"/>
      <c r="M104" s="23"/>
    </row>
    <row r="105" ht="15.75" customHeight="1">
      <c r="A105" s="3"/>
      <c r="B105" s="3"/>
      <c r="M105" s="23"/>
    </row>
    <row r="106" ht="15.75" customHeight="1">
      <c r="A106" s="3"/>
      <c r="B106" s="3"/>
      <c r="M106" s="23"/>
    </row>
    <row r="107" ht="15.75" customHeight="1">
      <c r="A107" s="3"/>
      <c r="B107" s="3"/>
      <c r="M107" s="23"/>
    </row>
    <row r="108" ht="15.75" customHeight="1">
      <c r="A108" s="3"/>
      <c r="B108" s="3"/>
      <c r="M108" s="23"/>
    </row>
    <row r="109" ht="15.75" customHeight="1">
      <c r="A109" s="3"/>
      <c r="B109" s="3"/>
      <c r="M109" s="23"/>
    </row>
    <row r="110" ht="15.75" customHeight="1">
      <c r="A110" s="3"/>
      <c r="B110" s="3"/>
      <c r="M110" s="23"/>
    </row>
    <row r="111" ht="15.75" customHeight="1">
      <c r="A111" s="3"/>
      <c r="B111" s="3"/>
      <c r="M111" s="23"/>
    </row>
    <row r="112" ht="15.75" customHeight="1">
      <c r="A112" s="3"/>
      <c r="B112" s="3"/>
      <c r="M112" s="23"/>
    </row>
    <row r="113" ht="15.75" customHeight="1">
      <c r="A113" s="3"/>
      <c r="B113" s="3"/>
      <c r="M113" s="23"/>
    </row>
    <row r="114" ht="15.75" customHeight="1">
      <c r="A114" s="3"/>
      <c r="B114" s="3"/>
      <c r="M114" s="23"/>
    </row>
    <row r="115" ht="15.75" customHeight="1">
      <c r="A115" s="3"/>
      <c r="B115" s="3"/>
      <c r="M115" s="23"/>
    </row>
    <row r="116" ht="15.75" customHeight="1">
      <c r="A116" s="3"/>
      <c r="B116" s="3"/>
      <c r="M116" s="23"/>
    </row>
    <row r="117" ht="15.75" customHeight="1">
      <c r="A117" s="3"/>
      <c r="B117" s="3"/>
      <c r="M117" s="23"/>
    </row>
    <row r="118" ht="15.75" customHeight="1">
      <c r="A118" s="3"/>
      <c r="B118" s="3"/>
      <c r="M118" s="23"/>
    </row>
    <row r="119" ht="15.75" customHeight="1">
      <c r="A119" s="3"/>
      <c r="B119" s="3"/>
      <c r="M119" s="23"/>
    </row>
    <row r="120" ht="15.75" customHeight="1">
      <c r="A120" s="3"/>
      <c r="B120" s="3"/>
      <c r="M120" s="23"/>
    </row>
    <row r="121" ht="15.75" customHeight="1">
      <c r="A121" s="3"/>
      <c r="B121" s="3"/>
      <c r="M121" s="23"/>
    </row>
    <row r="122" ht="15.75" customHeight="1">
      <c r="A122" s="3"/>
      <c r="B122" s="3"/>
      <c r="M122" s="23"/>
    </row>
    <row r="123" ht="15.75" customHeight="1">
      <c r="A123" s="3"/>
      <c r="B123" s="3"/>
      <c r="M123" s="23"/>
    </row>
    <row r="124" ht="15.75" customHeight="1">
      <c r="A124" s="3"/>
      <c r="B124" s="3"/>
      <c r="M124" s="23"/>
    </row>
    <row r="125" ht="15.75" customHeight="1">
      <c r="A125" s="3"/>
      <c r="B125" s="3"/>
      <c r="M125" s="23"/>
    </row>
    <row r="126" ht="15.75" customHeight="1">
      <c r="A126" s="3"/>
      <c r="B126" s="3"/>
      <c r="M126" s="23"/>
    </row>
    <row r="127" ht="15.75" customHeight="1">
      <c r="A127" s="3"/>
      <c r="B127" s="3"/>
      <c r="M127" s="23"/>
    </row>
    <row r="128" ht="15.75" customHeight="1">
      <c r="A128" s="3"/>
      <c r="B128" s="3"/>
      <c r="M128" s="23"/>
    </row>
    <row r="129" ht="15.75" customHeight="1">
      <c r="A129" s="3"/>
      <c r="B129" s="3"/>
      <c r="M129" s="23"/>
    </row>
    <row r="130" ht="15.75" customHeight="1">
      <c r="A130" s="3"/>
      <c r="B130" s="3"/>
      <c r="M130" s="23"/>
    </row>
    <row r="131" ht="15.75" customHeight="1">
      <c r="A131" s="3"/>
      <c r="B131" s="3"/>
      <c r="M131" s="23"/>
    </row>
    <row r="132" ht="15.75" customHeight="1">
      <c r="A132" s="3"/>
      <c r="B132" s="3"/>
      <c r="M132" s="23"/>
    </row>
    <row r="133" ht="15.75" customHeight="1">
      <c r="A133" s="3"/>
      <c r="B133" s="3"/>
      <c r="M133" s="23"/>
    </row>
    <row r="134" ht="15.75" customHeight="1">
      <c r="A134" s="3"/>
      <c r="B134" s="3"/>
      <c r="M134" s="23"/>
    </row>
    <row r="135" ht="15.75" customHeight="1">
      <c r="A135" s="3"/>
      <c r="B135" s="3"/>
      <c r="M135" s="23"/>
    </row>
    <row r="136" ht="15.75" customHeight="1">
      <c r="A136" s="3"/>
      <c r="B136" s="3"/>
      <c r="M136" s="23"/>
    </row>
    <row r="137" ht="15.75" customHeight="1">
      <c r="A137" s="3"/>
      <c r="B137" s="3"/>
      <c r="M137" s="23"/>
    </row>
    <row r="138" ht="15.75" customHeight="1">
      <c r="A138" s="3"/>
      <c r="B138" s="3"/>
      <c r="M138" s="23"/>
    </row>
    <row r="139" ht="15.75" customHeight="1">
      <c r="A139" s="3"/>
      <c r="B139" s="3"/>
      <c r="M139" s="23"/>
    </row>
    <row r="140" ht="15.75" customHeight="1">
      <c r="A140" s="3"/>
      <c r="B140" s="3"/>
      <c r="M140" s="23"/>
    </row>
    <row r="141" ht="15.75" customHeight="1">
      <c r="A141" s="3"/>
      <c r="B141" s="3"/>
      <c r="M141" s="23"/>
    </row>
    <row r="142" ht="15.75" customHeight="1">
      <c r="A142" s="3"/>
      <c r="B142" s="3"/>
      <c r="M142" s="23"/>
    </row>
    <row r="143" ht="15.75" customHeight="1">
      <c r="A143" s="3"/>
      <c r="B143" s="3"/>
      <c r="M143" s="23"/>
    </row>
    <row r="144" ht="15.75" customHeight="1">
      <c r="A144" s="3"/>
      <c r="B144" s="3"/>
      <c r="M144" s="23"/>
    </row>
    <row r="145" ht="15.75" customHeight="1">
      <c r="A145" s="3"/>
      <c r="B145" s="3"/>
      <c r="M145" s="23"/>
    </row>
    <row r="146" ht="15.75" customHeight="1">
      <c r="A146" s="3"/>
      <c r="B146" s="3"/>
      <c r="M146" s="23"/>
    </row>
    <row r="147" ht="15.75" customHeight="1">
      <c r="A147" s="3"/>
      <c r="B147" s="3"/>
      <c r="M147" s="23"/>
    </row>
    <row r="148" ht="15.75" customHeight="1">
      <c r="A148" s="3"/>
      <c r="B148" s="3"/>
      <c r="M148" s="23"/>
    </row>
    <row r="149" ht="15.75" customHeight="1">
      <c r="A149" s="3"/>
      <c r="B149" s="3"/>
      <c r="M149" s="23"/>
    </row>
    <row r="150" ht="15.75" customHeight="1">
      <c r="A150" s="3"/>
      <c r="B150" s="3"/>
      <c r="M150" s="23"/>
    </row>
    <row r="151" ht="15.75" customHeight="1">
      <c r="A151" s="3"/>
      <c r="B151" s="3"/>
      <c r="M151" s="23"/>
    </row>
    <row r="152" ht="15.75" customHeight="1">
      <c r="A152" s="3"/>
      <c r="B152" s="3"/>
      <c r="M152" s="23"/>
    </row>
    <row r="153" ht="15.75" customHeight="1">
      <c r="A153" s="3"/>
      <c r="B153" s="3"/>
      <c r="M153" s="23"/>
    </row>
    <row r="154" ht="15.75" customHeight="1">
      <c r="A154" s="3"/>
      <c r="B154" s="3"/>
      <c r="M154" s="23"/>
    </row>
    <row r="155" ht="15.75" customHeight="1">
      <c r="A155" s="3"/>
      <c r="B155" s="3"/>
      <c r="M155" s="23"/>
    </row>
    <row r="156" ht="15.75" customHeight="1">
      <c r="A156" s="3"/>
      <c r="B156" s="3"/>
      <c r="M156" s="23"/>
    </row>
    <row r="157" ht="15.75" customHeight="1">
      <c r="A157" s="3"/>
      <c r="B157" s="3"/>
      <c r="M157" s="23"/>
    </row>
    <row r="158" ht="15.75" customHeight="1">
      <c r="A158" s="3"/>
      <c r="B158" s="3"/>
      <c r="M158" s="23"/>
    </row>
    <row r="159" ht="15.75" customHeight="1">
      <c r="A159" s="3"/>
      <c r="B159" s="3"/>
      <c r="M159" s="23"/>
    </row>
    <row r="160" ht="15.75" customHeight="1">
      <c r="A160" s="3"/>
      <c r="B160" s="3"/>
      <c r="M160" s="23"/>
    </row>
    <row r="161" ht="15.75" customHeight="1">
      <c r="A161" s="3"/>
      <c r="B161" s="3"/>
      <c r="M161" s="23"/>
    </row>
    <row r="162" ht="15.75" customHeight="1">
      <c r="A162" s="3"/>
      <c r="B162" s="3"/>
      <c r="M162" s="23"/>
    </row>
    <row r="163" ht="15.75" customHeight="1">
      <c r="A163" s="3"/>
      <c r="B163" s="3"/>
      <c r="M163" s="23"/>
    </row>
    <row r="164" ht="15.75" customHeight="1">
      <c r="A164" s="3"/>
      <c r="B164" s="3"/>
      <c r="M164" s="23"/>
    </row>
    <row r="165" ht="15.75" customHeight="1">
      <c r="A165" s="3"/>
      <c r="B165" s="3"/>
      <c r="M165" s="23"/>
    </row>
    <row r="166" ht="15.75" customHeight="1">
      <c r="A166" s="3"/>
      <c r="B166" s="3"/>
      <c r="M166" s="23"/>
    </row>
    <row r="167" ht="15.75" customHeight="1">
      <c r="A167" s="3"/>
      <c r="B167" s="3"/>
      <c r="M167" s="23"/>
    </row>
    <row r="168" ht="15.75" customHeight="1">
      <c r="A168" s="3"/>
      <c r="B168" s="3"/>
      <c r="M168" s="23"/>
    </row>
    <row r="169" ht="15.75" customHeight="1">
      <c r="A169" s="3"/>
      <c r="B169" s="3"/>
      <c r="M169" s="23"/>
    </row>
    <row r="170" ht="15.75" customHeight="1">
      <c r="A170" s="3"/>
      <c r="B170" s="3"/>
      <c r="M170" s="23"/>
    </row>
    <row r="171" ht="15.75" customHeight="1">
      <c r="A171" s="3"/>
      <c r="B171" s="3"/>
      <c r="M171" s="23"/>
    </row>
    <row r="172" ht="15.75" customHeight="1">
      <c r="A172" s="3"/>
      <c r="B172" s="3"/>
      <c r="M172" s="23"/>
    </row>
    <row r="173" ht="15.75" customHeight="1">
      <c r="A173" s="3"/>
      <c r="B173" s="3"/>
      <c r="M173" s="23"/>
    </row>
    <row r="174" ht="15.75" customHeight="1">
      <c r="A174" s="3"/>
      <c r="B174" s="3"/>
      <c r="M174" s="23"/>
    </row>
    <row r="175" ht="15.75" customHeight="1">
      <c r="A175" s="3"/>
      <c r="B175" s="3"/>
      <c r="M175" s="23"/>
    </row>
    <row r="176" ht="15.75" customHeight="1">
      <c r="A176" s="3"/>
      <c r="B176" s="3"/>
      <c r="M176" s="23"/>
    </row>
    <row r="177" ht="15.75" customHeight="1">
      <c r="A177" s="3"/>
      <c r="B177" s="3"/>
      <c r="M177" s="23"/>
    </row>
    <row r="178" ht="15.75" customHeight="1">
      <c r="A178" s="3"/>
      <c r="B178" s="3"/>
      <c r="M178" s="23"/>
    </row>
    <row r="179" ht="15.75" customHeight="1">
      <c r="A179" s="3"/>
      <c r="B179" s="3"/>
      <c r="M179" s="23"/>
    </row>
    <row r="180" ht="15.75" customHeight="1">
      <c r="A180" s="3"/>
      <c r="B180" s="3"/>
      <c r="M180" s="23"/>
    </row>
    <row r="181" ht="15.75" customHeight="1">
      <c r="A181" s="3"/>
      <c r="B181" s="3"/>
      <c r="M181" s="23"/>
    </row>
    <row r="182" ht="15.75" customHeight="1">
      <c r="A182" s="3"/>
      <c r="B182" s="3"/>
      <c r="M182" s="23"/>
    </row>
    <row r="183" ht="15.75" customHeight="1">
      <c r="A183" s="3"/>
      <c r="B183" s="3"/>
      <c r="M183" s="23"/>
    </row>
    <row r="184" ht="15.75" customHeight="1">
      <c r="A184" s="3"/>
      <c r="B184" s="3"/>
      <c r="M184" s="23"/>
    </row>
    <row r="185" ht="15.75" customHeight="1">
      <c r="A185" s="3"/>
      <c r="B185" s="3"/>
      <c r="M185" s="23"/>
    </row>
    <row r="186" ht="15.75" customHeight="1">
      <c r="A186" s="3"/>
      <c r="B186" s="3"/>
      <c r="M186" s="23"/>
    </row>
    <row r="187" ht="15.75" customHeight="1">
      <c r="A187" s="3"/>
      <c r="B187" s="3"/>
      <c r="M187" s="23"/>
    </row>
    <row r="188" ht="15.75" customHeight="1">
      <c r="A188" s="3"/>
      <c r="B188" s="3"/>
      <c r="M188" s="23"/>
    </row>
    <row r="189" ht="15.75" customHeight="1">
      <c r="A189" s="3"/>
      <c r="B189" s="3"/>
      <c r="M189" s="23"/>
    </row>
    <row r="190" ht="15.75" customHeight="1">
      <c r="A190" s="3"/>
      <c r="B190" s="3"/>
      <c r="M190" s="23"/>
    </row>
    <row r="191" ht="15.75" customHeight="1">
      <c r="A191" s="3"/>
      <c r="B191" s="3"/>
      <c r="M191" s="23"/>
    </row>
    <row r="192" ht="15.75" customHeight="1">
      <c r="A192" s="3"/>
      <c r="B192" s="3"/>
      <c r="M192" s="23"/>
    </row>
    <row r="193" ht="15.75" customHeight="1">
      <c r="A193" s="3"/>
      <c r="B193" s="3"/>
      <c r="M193" s="23"/>
    </row>
    <row r="194" ht="15.75" customHeight="1">
      <c r="A194" s="3"/>
      <c r="B194" s="3"/>
      <c r="M194" s="23"/>
    </row>
    <row r="195" ht="15.75" customHeight="1">
      <c r="A195" s="3"/>
      <c r="B195" s="3"/>
      <c r="M195" s="23"/>
    </row>
    <row r="196" ht="15.75" customHeight="1">
      <c r="A196" s="3"/>
      <c r="B196" s="3"/>
      <c r="M196" s="23"/>
    </row>
    <row r="197" ht="15.75" customHeight="1">
      <c r="A197" s="3"/>
      <c r="B197" s="3"/>
      <c r="M197" s="23"/>
    </row>
    <row r="198" ht="15.75" customHeight="1">
      <c r="A198" s="3"/>
      <c r="B198" s="3"/>
      <c r="M198" s="23"/>
    </row>
    <row r="199" ht="15.75" customHeight="1">
      <c r="A199" s="3"/>
      <c r="B199" s="3"/>
      <c r="M199" s="23"/>
    </row>
    <row r="200" ht="15.75" customHeight="1">
      <c r="A200" s="3"/>
      <c r="B200" s="3"/>
      <c r="M200" s="23"/>
    </row>
    <row r="201" ht="15.75" customHeight="1">
      <c r="A201" s="3"/>
      <c r="B201" s="3"/>
      <c r="M201" s="23"/>
    </row>
    <row r="202" ht="15.75" customHeight="1">
      <c r="A202" s="3"/>
      <c r="B202" s="3"/>
      <c r="M202" s="23"/>
    </row>
    <row r="203" ht="15.75" customHeight="1">
      <c r="A203" s="3"/>
      <c r="B203" s="3"/>
      <c r="M203" s="23"/>
    </row>
    <row r="204" ht="15.75" customHeight="1">
      <c r="A204" s="3"/>
      <c r="B204" s="3"/>
      <c r="M204" s="23"/>
    </row>
    <row r="205" ht="15.75" customHeight="1">
      <c r="A205" s="3"/>
      <c r="B205" s="3"/>
      <c r="M205" s="23"/>
    </row>
    <row r="206" ht="15.75" customHeight="1">
      <c r="A206" s="3"/>
      <c r="B206" s="3"/>
      <c r="M206" s="23"/>
    </row>
    <row r="207" ht="15.75" customHeight="1">
      <c r="A207" s="3"/>
      <c r="B207" s="3"/>
      <c r="M207" s="23"/>
    </row>
    <row r="208" ht="15.75" customHeight="1">
      <c r="A208" s="3"/>
      <c r="B208" s="3"/>
      <c r="M208" s="23"/>
    </row>
    <row r="209" ht="15.75" customHeight="1">
      <c r="A209" s="3"/>
      <c r="B209" s="3"/>
      <c r="M209" s="23"/>
    </row>
    <row r="210" ht="15.75" customHeight="1">
      <c r="A210" s="3"/>
      <c r="B210" s="3"/>
      <c r="M210" s="23"/>
    </row>
    <row r="211" ht="15.75" customHeight="1">
      <c r="A211" s="3"/>
      <c r="B211" s="3"/>
      <c r="M211" s="23"/>
    </row>
    <row r="212" ht="15.75" customHeight="1">
      <c r="A212" s="3"/>
      <c r="B212" s="3"/>
      <c r="M212" s="23"/>
    </row>
    <row r="213" ht="15.75" customHeight="1">
      <c r="A213" s="3"/>
      <c r="B213" s="3"/>
      <c r="M213" s="23"/>
    </row>
    <row r="214" ht="15.75" customHeight="1">
      <c r="A214" s="3"/>
      <c r="B214" s="3"/>
      <c r="M214" s="23"/>
    </row>
    <row r="215" ht="15.75" customHeight="1">
      <c r="A215" s="3"/>
      <c r="B215" s="3"/>
      <c r="M215" s="23"/>
    </row>
    <row r="216" ht="15.75" customHeight="1">
      <c r="A216" s="3"/>
      <c r="B216" s="3"/>
      <c r="M216" s="23"/>
    </row>
    <row r="217" ht="15.75" customHeight="1">
      <c r="A217" s="3"/>
      <c r="B217" s="3"/>
      <c r="M217" s="23"/>
    </row>
    <row r="218" ht="15.75" customHeight="1">
      <c r="A218" s="3"/>
      <c r="B218" s="3"/>
      <c r="M218" s="23"/>
    </row>
    <row r="219" ht="15.75" customHeight="1">
      <c r="A219" s="3"/>
      <c r="B219" s="3"/>
      <c r="M219" s="23"/>
    </row>
    <row r="220" ht="15.75" customHeight="1">
      <c r="M220" s="23"/>
    </row>
    <row r="221" ht="15.75" customHeight="1">
      <c r="M221" s="23"/>
    </row>
    <row r="222" ht="15.75" customHeight="1">
      <c r="M222" s="23"/>
    </row>
    <row r="223" ht="15.75" customHeight="1">
      <c r="M223" s="23"/>
    </row>
    <row r="224" ht="15.75" customHeight="1">
      <c r="M224" s="23"/>
    </row>
    <row r="225" ht="15.75" customHeight="1">
      <c r="M225" s="23"/>
    </row>
    <row r="226" ht="15.75" customHeight="1">
      <c r="M226" s="23"/>
    </row>
    <row r="227" ht="15.75" customHeight="1">
      <c r="M227" s="23"/>
    </row>
    <row r="228" ht="15.75" customHeight="1">
      <c r="M228" s="23"/>
    </row>
    <row r="229" ht="15.75" customHeight="1">
      <c r="M229" s="23"/>
    </row>
    <row r="230" ht="15.75" customHeight="1">
      <c r="M230" s="23"/>
    </row>
    <row r="231" ht="15.75" customHeight="1">
      <c r="M231" s="23"/>
    </row>
    <row r="232" ht="15.75" customHeight="1">
      <c r="M232" s="23"/>
    </row>
    <row r="233" ht="15.75" customHeight="1">
      <c r="M233" s="23"/>
    </row>
    <row r="234" ht="15.75" customHeight="1">
      <c r="M234" s="23"/>
    </row>
    <row r="235" ht="15.75" customHeight="1">
      <c r="M235" s="23"/>
    </row>
    <row r="236" ht="15.75" customHeight="1">
      <c r="M236" s="23"/>
    </row>
    <row r="237" ht="15.75" customHeight="1">
      <c r="M237" s="23"/>
    </row>
    <row r="238" ht="15.75" customHeight="1">
      <c r="M238" s="23"/>
    </row>
    <row r="239" ht="15.75" customHeight="1">
      <c r="M239" s="23"/>
    </row>
    <row r="240" ht="15.75" customHeight="1">
      <c r="M240" s="23"/>
    </row>
    <row r="241" ht="15.75" customHeight="1">
      <c r="M241" s="23"/>
    </row>
    <row r="242" ht="15.75" customHeight="1">
      <c r="M242" s="23"/>
    </row>
    <row r="243" ht="15.75" customHeight="1">
      <c r="M243" s="23"/>
    </row>
    <row r="244" ht="15.75" customHeight="1">
      <c r="M244" s="23"/>
    </row>
    <row r="245" ht="15.75" customHeight="1">
      <c r="M245" s="23"/>
    </row>
    <row r="246" ht="15.75" customHeight="1">
      <c r="M246" s="23"/>
    </row>
    <row r="247" ht="15.75" customHeight="1">
      <c r="M247" s="23"/>
    </row>
    <row r="248" ht="15.75" customHeight="1">
      <c r="M248" s="23"/>
    </row>
    <row r="249" ht="15.75" customHeight="1">
      <c r="M249" s="23"/>
    </row>
    <row r="250" ht="15.75" customHeight="1">
      <c r="M250" s="23"/>
    </row>
    <row r="251" ht="15.75" customHeight="1">
      <c r="M251" s="23"/>
    </row>
    <row r="252" ht="15.75" customHeight="1">
      <c r="M252" s="23"/>
    </row>
    <row r="253" ht="15.75" customHeight="1">
      <c r="M253" s="23"/>
    </row>
    <row r="254" ht="15.75" customHeight="1">
      <c r="M254" s="23"/>
    </row>
    <row r="255" ht="15.75" customHeight="1">
      <c r="M255" s="23"/>
    </row>
    <row r="256" ht="15.75" customHeight="1">
      <c r="M256" s="23"/>
    </row>
    <row r="257" ht="15.75" customHeight="1">
      <c r="M257" s="23"/>
    </row>
    <row r="258" ht="15.75" customHeight="1">
      <c r="M258" s="23"/>
    </row>
    <row r="259" ht="15.75" customHeight="1">
      <c r="M259" s="23"/>
    </row>
    <row r="260" ht="15.75" customHeight="1">
      <c r="M260" s="23"/>
    </row>
    <row r="261" ht="15.75" customHeight="1">
      <c r="M261" s="23"/>
    </row>
    <row r="262" ht="15.75" customHeight="1">
      <c r="M262" s="23"/>
    </row>
    <row r="263" ht="15.75" customHeight="1">
      <c r="M263" s="23"/>
    </row>
    <row r="264" ht="15.75" customHeight="1">
      <c r="M264" s="23"/>
    </row>
    <row r="265" ht="15.75" customHeight="1">
      <c r="M265" s="23"/>
    </row>
    <row r="266" ht="15.75" customHeight="1">
      <c r="M266" s="23"/>
    </row>
    <row r="267" ht="15.75" customHeight="1">
      <c r="M267" s="23"/>
    </row>
    <row r="268" ht="15.75" customHeight="1">
      <c r="M268" s="23"/>
    </row>
    <row r="269" ht="15.75" customHeight="1">
      <c r="M269" s="23"/>
    </row>
    <row r="270" ht="15.75" customHeight="1">
      <c r="M270" s="23"/>
    </row>
    <row r="271" ht="15.75" customHeight="1">
      <c r="M271" s="23"/>
    </row>
    <row r="272" ht="15.75" customHeight="1">
      <c r="M272" s="23"/>
    </row>
    <row r="273" ht="15.75" customHeight="1">
      <c r="M273" s="23"/>
    </row>
    <row r="274" ht="15.75" customHeight="1">
      <c r="M274" s="23"/>
    </row>
    <row r="275" ht="15.75" customHeight="1">
      <c r="M275" s="23"/>
    </row>
    <row r="276" ht="15.75" customHeight="1">
      <c r="M276" s="23"/>
    </row>
    <row r="277" ht="15.75" customHeight="1">
      <c r="M277" s="23"/>
    </row>
    <row r="278" ht="15.75" customHeight="1">
      <c r="M278" s="23"/>
    </row>
    <row r="279" ht="15.75" customHeight="1">
      <c r="M279" s="23"/>
    </row>
    <row r="280" ht="15.75" customHeight="1">
      <c r="M280" s="23"/>
    </row>
    <row r="281" ht="15.75" customHeight="1">
      <c r="M281" s="23"/>
    </row>
    <row r="282" ht="15.75" customHeight="1">
      <c r="M282" s="23"/>
    </row>
    <row r="283" ht="15.75" customHeight="1">
      <c r="M283" s="23"/>
    </row>
    <row r="284" ht="15.75" customHeight="1">
      <c r="M284" s="23"/>
    </row>
    <row r="285" ht="15.75" customHeight="1">
      <c r="M285" s="23"/>
    </row>
    <row r="286" ht="15.75" customHeight="1">
      <c r="M286" s="23"/>
    </row>
    <row r="287" ht="15.75" customHeight="1">
      <c r="M287" s="23"/>
    </row>
    <row r="288" ht="15.75" customHeight="1">
      <c r="M288" s="23"/>
    </row>
    <row r="289" ht="15.75" customHeight="1">
      <c r="M289" s="23"/>
    </row>
    <row r="290" ht="15.75" customHeight="1">
      <c r="M290" s="23"/>
    </row>
    <row r="291" ht="15.75" customHeight="1">
      <c r="M291" s="23"/>
    </row>
    <row r="292" ht="15.75" customHeight="1">
      <c r="M292" s="23"/>
    </row>
    <row r="293" ht="15.75" customHeight="1">
      <c r="M293" s="23"/>
    </row>
    <row r="294" ht="15.75" customHeight="1">
      <c r="M294" s="23"/>
    </row>
    <row r="295" ht="15.75" customHeight="1">
      <c r="M295" s="23"/>
    </row>
    <row r="296" ht="15.75" customHeight="1">
      <c r="M296" s="23"/>
    </row>
    <row r="297" ht="15.75" customHeight="1">
      <c r="M297" s="23"/>
    </row>
    <row r="298" ht="15.75" customHeight="1">
      <c r="M298" s="23"/>
    </row>
    <row r="299" ht="15.75" customHeight="1">
      <c r="M299" s="23"/>
    </row>
    <row r="300" ht="15.75" customHeight="1">
      <c r="M300" s="23"/>
    </row>
    <row r="301" ht="15.75" customHeight="1">
      <c r="M301" s="23"/>
    </row>
    <row r="302" ht="15.75" customHeight="1">
      <c r="M302" s="23"/>
    </row>
    <row r="303" ht="15.75" customHeight="1">
      <c r="M303" s="23"/>
    </row>
    <row r="304" ht="15.75" customHeight="1">
      <c r="M304" s="23"/>
    </row>
    <row r="305" ht="15.75" customHeight="1">
      <c r="M305" s="23"/>
    </row>
    <row r="306" ht="15.75" customHeight="1">
      <c r="M306" s="23"/>
    </row>
    <row r="307" ht="15.75" customHeight="1">
      <c r="M307" s="23"/>
    </row>
    <row r="308" ht="15.75" customHeight="1">
      <c r="M308" s="23"/>
    </row>
    <row r="309" ht="15.75" customHeight="1">
      <c r="M309" s="23"/>
    </row>
    <row r="310" ht="15.75" customHeight="1">
      <c r="M310" s="23"/>
    </row>
    <row r="311" ht="15.75" customHeight="1">
      <c r="M311" s="23"/>
    </row>
    <row r="312" ht="15.75" customHeight="1">
      <c r="M312" s="23"/>
    </row>
    <row r="313" ht="15.75" customHeight="1">
      <c r="M313" s="23"/>
    </row>
    <row r="314" ht="15.75" customHeight="1">
      <c r="M314" s="23"/>
    </row>
    <row r="315" ht="15.75" customHeight="1">
      <c r="M315" s="23"/>
    </row>
    <row r="316" ht="15.75" customHeight="1">
      <c r="M316" s="23"/>
    </row>
    <row r="317" ht="15.75" customHeight="1">
      <c r="M317" s="23"/>
    </row>
    <row r="318" ht="15.75" customHeight="1">
      <c r="M318" s="23"/>
    </row>
    <row r="319" ht="15.75" customHeight="1">
      <c r="M319" s="23"/>
    </row>
    <row r="320" ht="15.75" customHeight="1">
      <c r="M320" s="23"/>
    </row>
    <row r="321" ht="15.75" customHeight="1">
      <c r="M321" s="23"/>
    </row>
    <row r="322" ht="15.75" customHeight="1">
      <c r="M322" s="23"/>
    </row>
    <row r="323" ht="15.75" customHeight="1">
      <c r="M323" s="23"/>
    </row>
    <row r="324" ht="15.75" customHeight="1">
      <c r="M324" s="23"/>
    </row>
    <row r="325" ht="15.75" customHeight="1">
      <c r="M325" s="23"/>
    </row>
    <row r="326" ht="15.75" customHeight="1">
      <c r="M326" s="23"/>
    </row>
    <row r="327" ht="15.75" customHeight="1">
      <c r="M327" s="23"/>
    </row>
    <row r="328" ht="15.75" customHeight="1">
      <c r="M328" s="23"/>
    </row>
    <row r="329" ht="15.75" customHeight="1">
      <c r="M329" s="23"/>
    </row>
    <row r="330" ht="15.75" customHeight="1">
      <c r="M330" s="23"/>
    </row>
    <row r="331" ht="15.75" customHeight="1">
      <c r="M331" s="23"/>
    </row>
    <row r="332" ht="15.75" customHeight="1">
      <c r="M332" s="23"/>
    </row>
    <row r="333" ht="15.75" customHeight="1">
      <c r="M333" s="23"/>
    </row>
    <row r="334" ht="15.75" customHeight="1">
      <c r="M334" s="23"/>
    </row>
    <row r="335" ht="15.75" customHeight="1">
      <c r="M335" s="23"/>
    </row>
    <row r="336" ht="15.75" customHeight="1">
      <c r="M336" s="23"/>
    </row>
    <row r="337" ht="15.75" customHeight="1">
      <c r="M337" s="23"/>
    </row>
    <row r="338" ht="15.75" customHeight="1">
      <c r="M338" s="23"/>
    </row>
    <row r="339" ht="15.75" customHeight="1">
      <c r="M339" s="23"/>
    </row>
    <row r="340" ht="15.75" customHeight="1">
      <c r="M340" s="23"/>
    </row>
    <row r="341" ht="15.75" customHeight="1">
      <c r="M341" s="23"/>
    </row>
    <row r="342" ht="15.75" customHeight="1">
      <c r="M342" s="23"/>
    </row>
    <row r="343" ht="15.75" customHeight="1">
      <c r="M343" s="23"/>
    </row>
    <row r="344" ht="15.75" customHeight="1">
      <c r="M344" s="23"/>
    </row>
    <row r="345" ht="15.75" customHeight="1">
      <c r="M345" s="23"/>
    </row>
    <row r="346" ht="15.75" customHeight="1">
      <c r="M346" s="23"/>
    </row>
    <row r="347" ht="15.75" customHeight="1">
      <c r="M347" s="23"/>
    </row>
    <row r="348" ht="15.75" customHeight="1">
      <c r="M348" s="23"/>
    </row>
    <row r="349" ht="15.75" customHeight="1">
      <c r="M349" s="23"/>
    </row>
    <row r="350" ht="15.75" customHeight="1">
      <c r="M350" s="23"/>
    </row>
    <row r="351" ht="15.75" customHeight="1">
      <c r="M351" s="23"/>
    </row>
    <row r="352" ht="15.75" customHeight="1">
      <c r="M352" s="23"/>
    </row>
    <row r="353" ht="15.75" customHeight="1">
      <c r="M353" s="23"/>
    </row>
    <row r="354" ht="15.75" customHeight="1">
      <c r="M354" s="23"/>
    </row>
    <row r="355" ht="15.75" customHeight="1">
      <c r="M355" s="23"/>
    </row>
    <row r="356" ht="15.75" customHeight="1">
      <c r="M356" s="23"/>
    </row>
    <row r="357" ht="15.75" customHeight="1">
      <c r="M357" s="23"/>
    </row>
    <row r="358" ht="15.75" customHeight="1">
      <c r="M358" s="23"/>
    </row>
    <row r="359" ht="15.75" customHeight="1">
      <c r="M359" s="23"/>
    </row>
    <row r="360" ht="15.75" customHeight="1">
      <c r="M360" s="23"/>
    </row>
    <row r="361" ht="15.75" customHeight="1">
      <c r="M361" s="23"/>
    </row>
    <row r="362" ht="15.75" customHeight="1">
      <c r="M362" s="23"/>
    </row>
    <row r="363" ht="15.75" customHeight="1">
      <c r="M363" s="23"/>
    </row>
    <row r="364" ht="15.75" customHeight="1">
      <c r="M364" s="23"/>
    </row>
    <row r="365" ht="15.75" customHeight="1">
      <c r="M365" s="23"/>
    </row>
    <row r="366" ht="15.75" customHeight="1">
      <c r="M366" s="23"/>
    </row>
    <row r="367" ht="15.75" customHeight="1">
      <c r="M367" s="23"/>
    </row>
    <row r="368" ht="15.75" customHeight="1">
      <c r="M368" s="23"/>
    </row>
    <row r="369" ht="15.75" customHeight="1">
      <c r="M369" s="23"/>
    </row>
    <row r="370" ht="15.75" customHeight="1">
      <c r="M370" s="23"/>
    </row>
    <row r="371" ht="15.75" customHeight="1">
      <c r="M371" s="23"/>
    </row>
    <row r="372" ht="15.75" customHeight="1">
      <c r="M372" s="23"/>
    </row>
    <row r="373" ht="15.75" customHeight="1">
      <c r="M373" s="23"/>
    </row>
    <row r="374" ht="15.75" customHeight="1">
      <c r="M374" s="23"/>
    </row>
    <row r="375" ht="15.75" customHeight="1">
      <c r="M375" s="23"/>
    </row>
    <row r="376" ht="15.75" customHeight="1">
      <c r="M376" s="23"/>
    </row>
    <row r="377" ht="15.75" customHeight="1">
      <c r="M377" s="23"/>
    </row>
    <row r="378" ht="15.75" customHeight="1">
      <c r="M378" s="23"/>
    </row>
    <row r="379" ht="15.75" customHeight="1">
      <c r="M379" s="23"/>
    </row>
    <row r="380" ht="15.75" customHeight="1">
      <c r="M380" s="23"/>
    </row>
    <row r="381" ht="15.75" customHeight="1">
      <c r="M381" s="23"/>
    </row>
    <row r="382" ht="15.75" customHeight="1">
      <c r="M382" s="23"/>
    </row>
    <row r="383" ht="15.75" customHeight="1">
      <c r="M383" s="23"/>
    </row>
    <row r="384" ht="15.75" customHeight="1">
      <c r="M384" s="23"/>
    </row>
    <row r="385" ht="15.75" customHeight="1">
      <c r="M385" s="23"/>
    </row>
    <row r="386" ht="15.75" customHeight="1">
      <c r="M386" s="23"/>
    </row>
    <row r="387" ht="15.75" customHeight="1">
      <c r="M387" s="23"/>
    </row>
    <row r="388" ht="15.75" customHeight="1">
      <c r="M388" s="23"/>
    </row>
    <row r="389" ht="15.75" customHeight="1">
      <c r="M389" s="23"/>
    </row>
    <row r="390" ht="15.75" customHeight="1">
      <c r="M390" s="23"/>
    </row>
    <row r="391" ht="15.75" customHeight="1">
      <c r="M391" s="23"/>
    </row>
    <row r="392" ht="15.75" customHeight="1">
      <c r="M392" s="23"/>
    </row>
    <row r="393" ht="15.75" customHeight="1">
      <c r="M393" s="23"/>
    </row>
    <row r="394" ht="15.75" customHeight="1">
      <c r="M394" s="23"/>
    </row>
    <row r="395" ht="15.75" customHeight="1">
      <c r="M395" s="23"/>
    </row>
    <row r="396" ht="15.75" customHeight="1">
      <c r="M396" s="23"/>
    </row>
    <row r="397" ht="15.75" customHeight="1">
      <c r="M397" s="23"/>
    </row>
    <row r="398" ht="15.75" customHeight="1">
      <c r="M398" s="23"/>
    </row>
    <row r="399" ht="15.75" customHeight="1">
      <c r="M399" s="23"/>
    </row>
    <row r="400" ht="15.75" customHeight="1">
      <c r="M400" s="23"/>
    </row>
    <row r="401" ht="15.75" customHeight="1">
      <c r="M401" s="23"/>
    </row>
    <row r="402" ht="15.75" customHeight="1">
      <c r="M402" s="23"/>
    </row>
    <row r="403" ht="15.75" customHeight="1">
      <c r="M403" s="23"/>
    </row>
    <row r="404" ht="15.75" customHeight="1">
      <c r="M404" s="23"/>
    </row>
    <row r="405" ht="15.75" customHeight="1">
      <c r="M405" s="23"/>
    </row>
    <row r="406" ht="15.75" customHeight="1">
      <c r="M406" s="23"/>
    </row>
    <row r="407" ht="15.75" customHeight="1">
      <c r="M407" s="23"/>
    </row>
    <row r="408" ht="15.75" customHeight="1">
      <c r="M408" s="23"/>
    </row>
    <row r="409" ht="15.75" customHeight="1">
      <c r="M409" s="23"/>
    </row>
    <row r="410" ht="15.75" customHeight="1">
      <c r="M410" s="23"/>
    </row>
    <row r="411" ht="15.75" customHeight="1">
      <c r="M411" s="23"/>
    </row>
    <row r="412" ht="15.75" customHeight="1">
      <c r="M412" s="23"/>
    </row>
    <row r="413" ht="15.75" customHeight="1">
      <c r="M413" s="23"/>
    </row>
    <row r="414" ht="15.75" customHeight="1">
      <c r="M414" s="23"/>
    </row>
    <row r="415" ht="15.75" customHeight="1">
      <c r="M415" s="23"/>
    </row>
    <row r="416" ht="15.75" customHeight="1">
      <c r="M416" s="23"/>
    </row>
    <row r="417" ht="15.75" customHeight="1">
      <c r="M417" s="23"/>
    </row>
    <row r="418" ht="15.75" customHeight="1">
      <c r="M418" s="23"/>
    </row>
    <row r="419" ht="15.75" customHeight="1">
      <c r="M419" s="23"/>
    </row>
    <row r="420" ht="15.75" customHeight="1">
      <c r="M420" s="23"/>
    </row>
    <row r="421" ht="15.75" customHeight="1">
      <c r="M421" s="23"/>
    </row>
    <row r="422" ht="15.75" customHeight="1">
      <c r="M422" s="23"/>
    </row>
    <row r="423" ht="15.75" customHeight="1">
      <c r="M423" s="23"/>
    </row>
    <row r="424" ht="15.75" customHeight="1">
      <c r="M424" s="23"/>
    </row>
    <row r="425" ht="15.75" customHeight="1">
      <c r="M425" s="23"/>
    </row>
    <row r="426" ht="15.75" customHeight="1">
      <c r="M426" s="23"/>
    </row>
    <row r="427" ht="15.75" customHeight="1">
      <c r="M427" s="23"/>
    </row>
    <row r="428" ht="15.75" customHeight="1">
      <c r="M428" s="23"/>
    </row>
    <row r="429" ht="15.75" customHeight="1">
      <c r="M429" s="23"/>
    </row>
    <row r="430" ht="15.75" customHeight="1">
      <c r="M430" s="23"/>
    </row>
    <row r="431" ht="15.75" customHeight="1">
      <c r="M431" s="23"/>
    </row>
    <row r="432" ht="15.75" customHeight="1">
      <c r="M432" s="23"/>
    </row>
    <row r="433" ht="15.75" customHeight="1">
      <c r="M433" s="23"/>
    </row>
    <row r="434" ht="15.75" customHeight="1">
      <c r="M434" s="23"/>
    </row>
    <row r="435" ht="15.75" customHeight="1">
      <c r="M435" s="23"/>
    </row>
    <row r="436" ht="15.75" customHeight="1">
      <c r="M436" s="23"/>
    </row>
    <row r="437" ht="15.75" customHeight="1">
      <c r="M437" s="23"/>
    </row>
    <row r="438" ht="15.75" customHeight="1">
      <c r="M438" s="23"/>
    </row>
    <row r="439" ht="15.75" customHeight="1">
      <c r="M439" s="23"/>
    </row>
    <row r="440" ht="15.75" customHeight="1">
      <c r="M440" s="23"/>
    </row>
    <row r="441" ht="15.75" customHeight="1">
      <c r="M441" s="23"/>
    </row>
    <row r="442" ht="15.75" customHeight="1">
      <c r="M442" s="23"/>
    </row>
    <row r="443" ht="15.75" customHeight="1">
      <c r="M443" s="23"/>
    </row>
    <row r="444" ht="15.75" customHeight="1">
      <c r="M444" s="23"/>
    </row>
    <row r="445" ht="15.75" customHeight="1">
      <c r="M445" s="23"/>
    </row>
    <row r="446" ht="15.75" customHeight="1">
      <c r="M446" s="23"/>
    </row>
    <row r="447" ht="15.75" customHeight="1">
      <c r="M447" s="23"/>
    </row>
    <row r="448" ht="15.75" customHeight="1">
      <c r="M448" s="23"/>
    </row>
    <row r="449" ht="15.75" customHeight="1">
      <c r="M449" s="23"/>
    </row>
    <row r="450" ht="15.75" customHeight="1">
      <c r="M450" s="23"/>
    </row>
    <row r="451" ht="15.75" customHeight="1">
      <c r="M451" s="23"/>
    </row>
    <row r="452" ht="15.75" customHeight="1">
      <c r="M452" s="23"/>
    </row>
    <row r="453" ht="15.75" customHeight="1">
      <c r="M453" s="23"/>
    </row>
    <row r="454" ht="15.75" customHeight="1">
      <c r="M454" s="23"/>
    </row>
    <row r="455" ht="15.75" customHeight="1">
      <c r="M455" s="23"/>
    </row>
    <row r="456" ht="15.75" customHeight="1">
      <c r="M456" s="23"/>
    </row>
    <row r="457" ht="15.75" customHeight="1">
      <c r="M457" s="23"/>
    </row>
    <row r="458" ht="15.75" customHeight="1">
      <c r="M458" s="23"/>
    </row>
    <row r="459" ht="15.75" customHeight="1">
      <c r="M459" s="23"/>
    </row>
    <row r="460" ht="15.75" customHeight="1">
      <c r="M460" s="23"/>
    </row>
    <row r="461" ht="15.75" customHeight="1">
      <c r="M461" s="23"/>
    </row>
    <row r="462" ht="15.75" customHeight="1">
      <c r="M462" s="23"/>
    </row>
    <row r="463" ht="15.75" customHeight="1">
      <c r="M463" s="23"/>
    </row>
    <row r="464" ht="15.75" customHeight="1">
      <c r="M464" s="23"/>
    </row>
    <row r="465" ht="15.75" customHeight="1">
      <c r="M465" s="23"/>
    </row>
    <row r="466" ht="15.75" customHeight="1">
      <c r="M466" s="23"/>
    </row>
    <row r="467" ht="15.75" customHeight="1">
      <c r="M467" s="23"/>
    </row>
    <row r="468" ht="15.75" customHeight="1">
      <c r="M468" s="23"/>
    </row>
    <row r="469" ht="15.75" customHeight="1">
      <c r="M469" s="23"/>
    </row>
    <row r="470" ht="15.75" customHeight="1">
      <c r="M470" s="23"/>
    </row>
    <row r="471" ht="15.75" customHeight="1">
      <c r="M471" s="23"/>
    </row>
    <row r="472" ht="15.75" customHeight="1">
      <c r="M472" s="23"/>
    </row>
    <row r="473" ht="15.75" customHeight="1">
      <c r="M473" s="23"/>
    </row>
    <row r="474" ht="15.75" customHeight="1">
      <c r="M474" s="23"/>
    </row>
    <row r="475" ht="15.75" customHeight="1">
      <c r="M475" s="23"/>
    </row>
    <row r="476" ht="15.75" customHeight="1">
      <c r="M476" s="23"/>
    </row>
    <row r="477" ht="15.75" customHeight="1">
      <c r="M477" s="23"/>
    </row>
    <row r="478" ht="15.75" customHeight="1">
      <c r="M478" s="23"/>
    </row>
    <row r="479" ht="15.75" customHeight="1">
      <c r="M479" s="23"/>
    </row>
    <row r="480" ht="15.75" customHeight="1">
      <c r="M480" s="23"/>
    </row>
    <row r="481" ht="15.75" customHeight="1">
      <c r="M481" s="23"/>
    </row>
    <row r="482" ht="15.75" customHeight="1">
      <c r="M482" s="23"/>
    </row>
    <row r="483" ht="15.75" customHeight="1">
      <c r="M483" s="23"/>
    </row>
    <row r="484" ht="15.75" customHeight="1">
      <c r="M484" s="23"/>
    </row>
    <row r="485" ht="15.75" customHeight="1">
      <c r="M485" s="23"/>
    </row>
    <row r="486" ht="15.75" customHeight="1">
      <c r="M486" s="23"/>
    </row>
    <row r="487" ht="15.75" customHeight="1">
      <c r="M487" s="23"/>
    </row>
    <row r="488" ht="15.75" customHeight="1">
      <c r="M488" s="23"/>
    </row>
    <row r="489" ht="15.75" customHeight="1">
      <c r="M489" s="23"/>
    </row>
    <row r="490" ht="15.75" customHeight="1">
      <c r="M490" s="23"/>
    </row>
    <row r="491" ht="15.75" customHeight="1">
      <c r="M491" s="23"/>
    </row>
    <row r="492" ht="15.75" customHeight="1">
      <c r="M492" s="23"/>
    </row>
    <row r="493" ht="15.75" customHeight="1">
      <c r="M493" s="23"/>
    </row>
    <row r="494" ht="15.75" customHeight="1">
      <c r="M494" s="23"/>
    </row>
    <row r="495" ht="15.75" customHeight="1">
      <c r="M495" s="23"/>
    </row>
    <row r="496" ht="15.75" customHeight="1">
      <c r="M496" s="23"/>
    </row>
    <row r="497" ht="15.75" customHeight="1">
      <c r="M497" s="23"/>
    </row>
    <row r="498" ht="15.75" customHeight="1">
      <c r="M498" s="23"/>
    </row>
    <row r="499" ht="15.75" customHeight="1">
      <c r="M499" s="23"/>
    </row>
    <row r="500" ht="15.75" customHeight="1">
      <c r="M500" s="23"/>
    </row>
    <row r="501" ht="15.75" customHeight="1">
      <c r="M501" s="23"/>
    </row>
    <row r="502" ht="15.75" customHeight="1">
      <c r="M502" s="23"/>
    </row>
    <row r="503" ht="15.75" customHeight="1">
      <c r="M503" s="23"/>
    </row>
    <row r="504" ht="15.75" customHeight="1">
      <c r="M504" s="23"/>
    </row>
    <row r="505" ht="15.75" customHeight="1">
      <c r="M505" s="23"/>
    </row>
    <row r="506" ht="15.75" customHeight="1">
      <c r="M506" s="23"/>
    </row>
    <row r="507" ht="15.75" customHeight="1">
      <c r="M507" s="23"/>
    </row>
    <row r="508" ht="15.75" customHeight="1">
      <c r="M508" s="23"/>
    </row>
    <row r="509" ht="15.75" customHeight="1">
      <c r="M509" s="23"/>
    </row>
    <row r="510" ht="15.75" customHeight="1">
      <c r="M510" s="23"/>
    </row>
    <row r="511" ht="15.75" customHeight="1">
      <c r="M511" s="23"/>
    </row>
    <row r="512" ht="15.75" customHeight="1">
      <c r="M512" s="23"/>
    </row>
    <row r="513" ht="15.75" customHeight="1">
      <c r="M513" s="23"/>
    </row>
    <row r="514" ht="15.75" customHeight="1">
      <c r="M514" s="23"/>
    </row>
    <row r="515" ht="15.75" customHeight="1">
      <c r="M515" s="23"/>
    </row>
    <row r="516" ht="15.75" customHeight="1">
      <c r="M516" s="23"/>
    </row>
    <row r="517" ht="15.75" customHeight="1">
      <c r="M517" s="23"/>
    </row>
    <row r="518" ht="15.75" customHeight="1">
      <c r="M518" s="23"/>
    </row>
    <row r="519" ht="15.75" customHeight="1">
      <c r="M519" s="23"/>
    </row>
    <row r="520" ht="15.75" customHeight="1">
      <c r="M520" s="23"/>
    </row>
    <row r="521" ht="15.75" customHeight="1">
      <c r="M521" s="23"/>
    </row>
    <row r="522" ht="15.75" customHeight="1">
      <c r="M522" s="23"/>
    </row>
    <row r="523" ht="15.75" customHeight="1">
      <c r="M523" s="23"/>
    </row>
    <row r="524" ht="15.75" customHeight="1">
      <c r="M524" s="23"/>
    </row>
    <row r="525" ht="15.75" customHeight="1">
      <c r="M525" s="23"/>
    </row>
    <row r="526" ht="15.75" customHeight="1">
      <c r="M526" s="23"/>
    </row>
    <row r="527" ht="15.75" customHeight="1">
      <c r="M527" s="23"/>
    </row>
    <row r="528" ht="15.75" customHeight="1">
      <c r="M528" s="23"/>
    </row>
    <row r="529" ht="15.75" customHeight="1">
      <c r="M529" s="23"/>
    </row>
    <row r="530" ht="15.75" customHeight="1">
      <c r="M530" s="23"/>
    </row>
    <row r="531" ht="15.75" customHeight="1">
      <c r="M531" s="23"/>
    </row>
    <row r="532" ht="15.75" customHeight="1">
      <c r="M532" s="23"/>
    </row>
    <row r="533" ht="15.75" customHeight="1">
      <c r="M533" s="23"/>
    </row>
    <row r="534" ht="15.75" customHeight="1">
      <c r="M534" s="23"/>
    </row>
    <row r="535" ht="15.75" customHeight="1">
      <c r="M535" s="23"/>
    </row>
    <row r="536" ht="15.75" customHeight="1">
      <c r="M536" s="23"/>
    </row>
    <row r="537" ht="15.75" customHeight="1">
      <c r="M537" s="23"/>
    </row>
    <row r="538" ht="15.75" customHeight="1">
      <c r="M538" s="23"/>
    </row>
    <row r="539" ht="15.75" customHeight="1">
      <c r="M539" s="23"/>
    </row>
    <row r="540" ht="15.75" customHeight="1">
      <c r="M540" s="23"/>
    </row>
    <row r="541" ht="15.75" customHeight="1">
      <c r="M541" s="23"/>
    </row>
    <row r="542" ht="15.75" customHeight="1">
      <c r="M542" s="23"/>
    </row>
    <row r="543" ht="15.75" customHeight="1">
      <c r="M543" s="23"/>
    </row>
    <row r="544" ht="15.75" customHeight="1">
      <c r="M544" s="23"/>
    </row>
    <row r="545" ht="15.75" customHeight="1">
      <c r="M545" s="23"/>
    </row>
    <row r="546" ht="15.75" customHeight="1">
      <c r="M546" s="23"/>
    </row>
    <row r="547" ht="15.75" customHeight="1">
      <c r="M547" s="23"/>
    </row>
    <row r="548" ht="15.75" customHeight="1">
      <c r="M548" s="23"/>
    </row>
    <row r="549" ht="15.75" customHeight="1">
      <c r="M549" s="23"/>
    </row>
    <row r="550" ht="15.75" customHeight="1">
      <c r="M550" s="23"/>
    </row>
    <row r="551" ht="15.75" customHeight="1">
      <c r="M551" s="23"/>
    </row>
    <row r="552" ht="15.75" customHeight="1">
      <c r="M552" s="23"/>
    </row>
    <row r="553" ht="15.75" customHeight="1">
      <c r="M553" s="23"/>
    </row>
    <row r="554" ht="15.75" customHeight="1">
      <c r="M554" s="23"/>
    </row>
    <row r="555" ht="15.75" customHeight="1">
      <c r="M555" s="23"/>
    </row>
    <row r="556" ht="15.75" customHeight="1">
      <c r="M556" s="23"/>
    </row>
    <row r="557" ht="15.75" customHeight="1">
      <c r="M557" s="23"/>
    </row>
    <row r="558" ht="15.75" customHeight="1">
      <c r="M558" s="23"/>
    </row>
    <row r="559" ht="15.75" customHeight="1">
      <c r="M559" s="23"/>
    </row>
    <row r="560" ht="15.75" customHeight="1">
      <c r="M560" s="23"/>
    </row>
    <row r="561" ht="15.75" customHeight="1">
      <c r="M561" s="23"/>
    </row>
    <row r="562" ht="15.75" customHeight="1">
      <c r="M562" s="23"/>
    </row>
    <row r="563" ht="15.75" customHeight="1">
      <c r="M563" s="23"/>
    </row>
    <row r="564" ht="15.75" customHeight="1">
      <c r="M564" s="23"/>
    </row>
    <row r="565" ht="15.75" customHeight="1">
      <c r="M565" s="23"/>
    </row>
    <row r="566" ht="15.75" customHeight="1">
      <c r="M566" s="23"/>
    </row>
    <row r="567" ht="15.75" customHeight="1">
      <c r="M567" s="23"/>
    </row>
    <row r="568" ht="15.75" customHeight="1">
      <c r="M568" s="23"/>
    </row>
    <row r="569" ht="15.75" customHeight="1">
      <c r="M569" s="23"/>
    </row>
    <row r="570" ht="15.75" customHeight="1">
      <c r="M570" s="23"/>
    </row>
    <row r="571" ht="15.75" customHeight="1">
      <c r="M571" s="23"/>
    </row>
    <row r="572" ht="15.75" customHeight="1">
      <c r="M572" s="23"/>
    </row>
    <row r="573" ht="15.75" customHeight="1">
      <c r="M573" s="23"/>
    </row>
    <row r="574" ht="15.75" customHeight="1">
      <c r="M574" s="23"/>
    </row>
    <row r="575" ht="15.75" customHeight="1">
      <c r="M575" s="23"/>
    </row>
    <row r="576" ht="15.75" customHeight="1">
      <c r="M576" s="23"/>
    </row>
    <row r="577" ht="15.75" customHeight="1">
      <c r="M577" s="23"/>
    </row>
    <row r="578" ht="15.75" customHeight="1">
      <c r="M578" s="23"/>
    </row>
    <row r="579" ht="15.75" customHeight="1">
      <c r="M579" s="23"/>
    </row>
    <row r="580" ht="15.75" customHeight="1">
      <c r="M580" s="23"/>
    </row>
    <row r="581" ht="15.75" customHeight="1">
      <c r="M581" s="23"/>
    </row>
    <row r="582" ht="15.75" customHeight="1">
      <c r="M582" s="23"/>
    </row>
    <row r="583" ht="15.75" customHeight="1">
      <c r="M583" s="23"/>
    </row>
    <row r="584" ht="15.75" customHeight="1">
      <c r="M584" s="23"/>
    </row>
    <row r="585" ht="15.75" customHeight="1">
      <c r="M585" s="23"/>
    </row>
    <row r="586" ht="15.75" customHeight="1">
      <c r="M586" s="23"/>
    </row>
    <row r="587" ht="15.75" customHeight="1">
      <c r="M587" s="23"/>
    </row>
    <row r="588" ht="15.75" customHeight="1">
      <c r="M588" s="23"/>
    </row>
    <row r="589" ht="15.75" customHeight="1">
      <c r="M589" s="23"/>
    </row>
    <row r="590" ht="15.75" customHeight="1">
      <c r="M590" s="23"/>
    </row>
    <row r="591" ht="15.75" customHeight="1">
      <c r="M591" s="23"/>
    </row>
    <row r="592" ht="15.75" customHeight="1">
      <c r="M592" s="23"/>
    </row>
    <row r="593" ht="15.75" customHeight="1">
      <c r="M593" s="23"/>
    </row>
    <row r="594" ht="15.75" customHeight="1">
      <c r="M594" s="23"/>
    </row>
    <row r="595" ht="15.75" customHeight="1">
      <c r="M595" s="23"/>
    </row>
    <row r="596" ht="15.75" customHeight="1">
      <c r="M596" s="23"/>
    </row>
    <row r="597" ht="15.75" customHeight="1">
      <c r="M597" s="23"/>
    </row>
    <row r="598" ht="15.75" customHeight="1">
      <c r="M598" s="23"/>
    </row>
    <row r="599" ht="15.75" customHeight="1">
      <c r="M599" s="23"/>
    </row>
    <row r="600" ht="15.75" customHeight="1">
      <c r="M600" s="23"/>
    </row>
    <row r="601" ht="15.75" customHeight="1">
      <c r="M601" s="23"/>
    </row>
    <row r="602" ht="15.75" customHeight="1">
      <c r="M602" s="23"/>
    </row>
    <row r="603" ht="15.75" customHeight="1">
      <c r="M603" s="23"/>
    </row>
    <row r="604" ht="15.75" customHeight="1">
      <c r="M604" s="23"/>
    </row>
    <row r="605" ht="15.75" customHeight="1">
      <c r="M605" s="23"/>
    </row>
    <row r="606" ht="15.75" customHeight="1">
      <c r="M606" s="23"/>
    </row>
    <row r="607" ht="15.75" customHeight="1">
      <c r="M607" s="23"/>
    </row>
    <row r="608" ht="15.75" customHeight="1">
      <c r="M608" s="23"/>
    </row>
    <row r="609" ht="15.75" customHeight="1">
      <c r="M609" s="23"/>
    </row>
    <row r="610" ht="15.75" customHeight="1">
      <c r="M610" s="23"/>
    </row>
    <row r="611" ht="15.75" customHeight="1">
      <c r="M611" s="23"/>
    </row>
    <row r="612" ht="15.75" customHeight="1">
      <c r="M612" s="23"/>
    </row>
    <row r="613" ht="15.75" customHeight="1">
      <c r="M613" s="23"/>
    </row>
    <row r="614" ht="15.75" customHeight="1">
      <c r="M614" s="23"/>
    </row>
    <row r="615" ht="15.75" customHeight="1">
      <c r="M615" s="23"/>
    </row>
    <row r="616" ht="15.75" customHeight="1">
      <c r="M616" s="23"/>
    </row>
    <row r="617" ht="15.75" customHeight="1">
      <c r="M617" s="23"/>
    </row>
    <row r="618" ht="15.75" customHeight="1">
      <c r="M618" s="23"/>
    </row>
    <row r="619" ht="15.75" customHeight="1">
      <c r="M619" s="23"/>
    </row>
    <row r="620" ht="15.75" customHeight="1">
      <c r="M620" s="23"/>
    </row>
    <row r="621" ht="15.75" customHeight="1">
      <c r="M621" s="23"/>
    </row>
    <row r="622" ht="15.75" customHeight="1">
      <c r="M622" s="23"/>
    </row>
    <row r="623" ht="15.75" customHeight="1">
      <c r="M623" s="23"/>
    </row>
    <row r="624" ht="15.75" customHeight="1">
      <c r="M624" s="23"/>
    </row>
    <row r="625" ht="15.75" customHeight="1">
      <c r="M625" s="23"/>
    </row>
    <row r="626" ht="15.75" customHeight="1">
      <c r="M626" s="23"/>
    </row>
    <row r="627" ht="15.75" customHeight="1">
      <c r="M627" s="23"/>
    </row>
    <row r="628" ht="15.75" customHeight="1">
      <c r="M628" s="23"/>
    </row>
    <row r="629" ht="15.75" customHeight="1">
      <c r="M629" s="23"/>
    </row>
    <row r="630" ht="15.75" customHeight="1">
      <c r="M630" s="23"/>
    </row>
    <row r="631" ht="15.75" customHeight="1">
      <c r="M631" s="23"/>
    </row>
    <row r="632" ht="15.75" customHeight="1">
      <c r="M632" s="23"/>
    </row>
    <row r="633" ht="15.75" customHeight="1">
      <c r="M633" s="23"/>
    </row>
    <row r="634" ht="15.75" customHeight="1">
      <c r="M634" s="23"/>
    </row>
    <row r="635" ht="15.75" customHeight="1">
      <c r="M635" s="23"/>
    </row>
    <row r="636" ht="15.75" customHeight="1">
      <c r="M636" s="23"/>
    </row>
    <row r="637" ht="15.75" customHeight="1">
      <c r="M637" s="23"/>
    </row>
    <row r="638" ht="15.75" customHeight="1">
      <c r="M638" s="23"/>
    </row>
    <row r="639" ht="15.75" customHeight="1">
      <c r="M639" s="23"/>
    </row>
    <row r="640" ht="15.75" customHeight="1">
      <c r="M640" s="23"/>
    </row>
    <row r="641" ht="15.75" customHeight="1">
      <c r="M641" s="23"/>
    </row>
    <row r="642" ht="15.75" customHeight="1">
      <c r="M642" s="23"/>
    </row>
    <row r="643" ht="15.75" customHeight="1">
      <c r="M643" s="23"/>
    </row>
    <row r="644" ht="15.75" customHeight="1">
      <c r="M644" s="23"/>
    </row>
    <row r="645" ht="15.75" customHeight="1">
      <c r="M645" s="23"/>
    </row>
    <row r="646" ht="15.75" customHeight="1">
      <c r="M646" s="23"/>
    </row>
    <row r="647" ht="15.75" customHeight="1">
      <c r="M647" s="23"/>
    </row>
    <row r="648" ht="15.75" customHeight="1">
      <c r="M648" s="23"/>
    </row>
    <row r="649" ht="15.75" customHeight="1">
      <c r="M649" s="23"/>
    </row>
    <row r="650" ht="15.75" customHeight="1">
      <c r="M650" s="23"/>
    </row>
    <row r="651" ht="15.75" customHeight="1">
      <c r="M651" s="23"/>
    </row>
    <row r="652" ht="15.75" customHeight="1">
      <c r="M652" s="23"/>
    </row>
    <row r="653" ht="15.75" customHeight="1">
      <c r="M653" s="23"/>
    </row>
    <row r="654" ht="15.75" customHeight="1">
      <c r="M654" s="23"/>
    </row>
    <row r="655" ht="15.75" customHeight="1">
      <c r="M655" s="23"/>
    </row>
    <row r="656" ht="15.75" customHeight="1">
      <c r="M656" s="23"/>
    </row>
    <row r="657" ht="15.75" customHeight="1">
      <c r="M657" s="23"/>
    </row>
    <row r="658" ht="15.75" customHeight="1">
      <c r="M658" s="23"/>
    </row>
    <row r="659" ht="15.75" customHeight="1">
      <c r="M659" s="23"/>
    </row>
    <row r="660" ht="15.75" customHeight="1">
      <c r="M660" s="23"/>
    </row>
    <row r="661" ht="15.75" customHeight="1">
      <c r="M661" s="23"/>
    </row>
    <row r="662" ht="15.75" customHeight="1">
      <c r="M662" s="23"/>
    </row>
    <row r="663" ht="15.75" customHeight="1">
      <c r="M663" s="23"/>
    </row>
    <row r="664" ht="15.75" customHeight="1">
      <c r="M664" s="23"/>
    </row>
    <row r="665" ht="15.75" customHeight="1">
      <c r="M665" s="23"/>
    </row>
    <row r="666" ht="15.75" customHeight="1">
      <c r="M666" s="23"/>
    </row>
    <row r="667" ht="15.75" customHeight="1">
      <c r="M667" s="23"/>
    </row>
    <row r="668" ht="15.75" customHeight="1">
      <c r="M668" s="23"/>
    </row>
    <row r="669" ht="15.75" customHeight="1">
      <c r="M669" s="23"/>
    </row>
    <row r="670" ht="15.75" customHeight="1">
      <c r="M670" s="23"/>
    </row>
    <row r="671" ht="15.75" customHeight="1">
      <c r="M671" s="23"/>
    </row>
    <row r="672" ht="15.75" customHeight="1">
      <c r="M672" s="23"/>
    </row>
    <row r="673" ht="15.75" customHeight="1">
      <c r="M673" s="23"/>
    </row>
    <row r="674" ht="15.75" customHeight="1">
      <c r="M674" s="23"/>
    </row>
    <row r="675" ht="15.75" customHeight="1">
      <c r="M675" s="23"/>
    </row>
    <row r="676" ht="15.75" customHeight="1">
      <c r="M676" s="23"/>
    </row>
    <row r="677" ht="15.75" customHeight="1">
      <c r="M677" s="23"/>
    </row>
    <row r="678" ht="15.75" customHeight="1">
      <c r="M678" s="23"/>
    </row>
    <row r="679" ht="15.75" customHeight="1">
      <c r="M679" s="23"/>
    </row>
    <row r="680" ht="15.75" customHeight="1">
      <c r="M680" s="23"/>
    </row>
    <row r="681" ht="15.75" customHeight="1">
      <c r="M681" s="23"/>
    </row>
    <row r="682" ht="15.75" customHeight="1">
      <c r="M682" s="23"/>
    </row>
    <row r="683" ht="15.75" customHeight="1">
      <c r="M683" s="23"/>
    </row>
    <row r="684" ht="15.75" customHeight="1">
      <c r="M684" s="23"/>
    </row>
    <row r="685" ht="15.75" customHeight="1">
      <c r="M685" s="23"/>
    </row>
    <row r="686" ht="15.75" customHeight="1">
      <c r="M686" s="23"/>
    </row>
    <row r="687" ht="15.75" customHeight="1">
      <c r="M687" s="23"/>
    </row>
    <row r="688" ht="15.75" customHeight="1">
      <c r="M688" s="23"/>
    </row>
    <row r="689" ht="15.75" customHeight="1">
      <c r="M689" s="23"/>
    </row>
    <row r="690" ht="15.75" customHeight="1">
      <c r="M690" s="23"/>
    </row>
    <row r="691" ht="15.75" customHeight="1">
      <c r="M691" s="23"/>
    </row>
    <row r="692" ht="15.75" customHeight="1">
      <c r="M692" s="23"/>
    </row>
    <row r="693" ht="15.75" customHeight="1">
      <c r="M693" s="23"/>
    </row>
    <row r="694" ht="15.75" customHeight="1">
      <c r="M694" s="23"/>
    </row>
    <row r="695" ht="15.75" customHeight="1">
      <c r="M695" s="23"/>
    </row>
    <row r="696" ht="15.75" customHeight="1">
      <c r="M696" s="23"/>
    </row>
    <row r="697" ht="15.75" customHeight="1">
      <c r="M697" s="23"/>
    </row>
    <row r="698" ht="15.75" customHeight="1">
      <c r="M698" s="23"/>
    </row>
    <row r="699" ht="15.75" customHeight="1">
      <c r="M699" s="23"/>
    </row>
    <row r="700" ht="15.75" customHeight="1">
      <c r="M700" s="23"/>
    </row>
    <row r="701" ht="15.75" customHeight="1">
      <c r="M701" s="23"/>
    </row>
    <row r="702" ht="15.75" customHeight="1">
      <c r="M702" s="23"/>
    </row>
    <row r="703" ht="15.75" customHeight="1">
      <c r="M703" s="23"/>
    </row>
    <row r="704" ht="15.75" customHeight="1">
      <c r="M704" s="23"/>
    </row>
    <row r="705" ht="15.75" customHeight="1">
      <c r="M705" s="23"/>
    </row>
    <row r="706" ht="15.75" customHeight="1">
      <c r="M706" s="23"/>
    </row>
    <row r="707" ht="15.75" customHeight="1">
      <c r="M707" s="23"/>
    </row>
    <row r="708" ht="15.75" customHeight="1">
      <c r="M708" s="23"/>
    </row>
    <row r="709" ht="15.75" customHeight="1">
      <c r="M709" s="23"/>
    </row>
    <row r="710" ht="15.75" customHeight="1">
      <c r="M710" s="23"/>
    </row>
    <row r="711" ht="15.75" customHeight="1">
      <c r="M711" s="23"/>
    </row>
    <row r="712" ht="15.75" customHeight="1">
      <c r="M712" s="23"/>
    </row>
    <row r="713" ht="15.75" customHeight="1">
      <c r="M713" s="23"/>
    </row>
    <row r="714" ht="15.75" customHeight="1">
      <c r="M714" s="23"/>
    </row>
    <row r="715" ht="15.75" customHeight="1">
      <c r="M715" s="23"/>
    </row>
    <row r="716" ht="15.75" customHeight="1">
      <c r="M716" s="23"/>
    </row>
    <row r="717" ht="15.75" customHeight="1">
      <c r="M717" s="23"/>
    </row>
    <row r="718" ht="15.75" customHeight="1">
      <c r="M718" s="23"/>
    </row>
    <row r="719" ht="15.75" customHeight="1">
      <c r="M719" s="23"/>
    </row>
    <row r="720" ht="15.75" customHeight="1">
      <c r="M720" s="23"/>
    </row>
    <row r="721" ht="15.75" customHeight="1">
      <c r="M721" s="23"/>
    </row>
    <row r="722" ht="15.75" customHeight="1">
      <c r="M722" s="23"/>
    </row>
    <row r="723" ht="15.75" customHeight="1">
      <c r="M723" s="23"/>
    </row>
    <row r="724" ht="15.75" customHeight="1">
      <c r="M724" s="23"/>
    </row>
    <row r="725" ht="15.75" customHeight="1">
      <c r="M725" s="23"/>
    </row>
    <row r="726" ht="15.75" customHeight="1">
      <c r="M726" s="23"/>
    </row>
    <row r="727" ht="15.75" customHeight="1">
      <c r="M727" s="23"/>
    </row>
    <row r="728" ht="15.75" customHeight="1">
      <c r="M728" s="23"/>
    </row>
    <row r="729" ht="15.75" customHeight="1">
      <c r="M729" s="23"/>
    </row>
    <row r="730" ht="15.75" customHeight="1">
      <c r="M730" s="23"/>
    </row>
    <row r="731" ht="15.75" customHeight="1">
      <c r="M731" s="23"/>
    </row>
    <row r="732" ht="15.75" customHeight="1">
      <c r="M732" s="23"/>
    </row>
    <row r="733" ht="15.75" customHeight="1">
      <c r="M733" s="23"/>
    </row>
    <row r="734" ht="15.75" customHeight="1">
      <c r="M734" s="23"/>
    </row>
    <row r="735" ht="15.75" customHeight="1">
      <c r="M735" s="23"/>
    </row>
    <row r="736" ht="15.75" customHeight="1">
      <c r="M736" s="23"/>
    </row>
    <row r="737" ht="15.75" customHeight="1">
      <c r="M737" s="23"/>
    </row>
    <row r="738" ht="15.75" customHeight="1">
      <c r="M738" s="23"/>
    </row>
    <row r="739" ht="15.75" customHeight="1">
      <c r="M739" s="23"/>
    </row>
    <row r="740" ht="15.75" customHeight="1">
      <c r="M740" s="23"/>
    </row>
    <row r="741" ht="15.75" customHeight="1">
      <c r="M741" s="23"/>
    </row>
    <row r="742" ht="15.75" customHeight="1">
      <c r="M742" s="23"/>
    </row>
    <row r="743" ht="15.75" customHeight="1">
      <c r="M743" s="23"/>
    </row>
    <row r="744" ht="15.75" customHeight="1">
      <c r="M744" s="23"/>
    </row>
    <row r="745" ht="15.75" customHeight="1">
      <c r="M745" s="23"/>
    </row>
    <row r="746" ht="15.75" customHeight="1">
      <c r="M746" s="23"/>
    </row>
    <row r="747" ht="15.75" customHeight="1">
      <c r="M747" s="23"/>
    </row>
    <row r="748" ht="15.75" customHeight="1">
      <c r="M748" s="23"/>
    </row>
    <row r="749" ht="15.75" customHeight="1">
      <c r="M749" s="23"/>
    </row>
    <row r="750" ht="15.75" customHeight="1">
      <c r="M750" s="23"/>
    </row>
    <row r="751" ht="15.75" customHeight="1">
      <c r="M751" s="23"/>
    </row>
    <row r="752" ht="15.75" customHeight="1">
      <c r="M752" s="23"/>
    </row>
    <row r="753" ht="15.75" customHeight="1">
      <c r="M753" s="23"/>
    </row>
    <row r="754" ht="15.75" customHeight="1">
      <c r="M754" s="23"/>
    </row>
    <row r="755" ht="15.75" customHeight="1">
      <c r="M755" s="23"/>
    </row>
    <row r="756" ht="15.75" customHeight="1">
      <c r="M756" s="23"/>
    </row>
    <row r="757" ht="15.75" customHeight="1">
      <c r="M757" s="23"/>
    </row>
    <row r="758" ht="15.75" customHeight="1">
      <c r="M758" s="23"/>
    </row>
    <row r="759" ht="15.75" customHeight="1">
      <c r="M759" s="23"/>
    </row>
    <row r="760" ht="15.75" customHeight="1">
      <c r="M760" s="23"/>
    </row>
    <row r="761" ht="15.75" customHeight="1">
      <c r="M761" s="23"/>
    </row>
    <row r="762" ht="15.75" customHeight="1">
      <c r="M762" s="23"/>
    </row>
    <row r="763" ht="15.75" customHeight="1">
      <c r="M763" s="23"/>
    </row>
    <row r="764" ht="15.75" customHeight="1">
      <c r="M764" s="23"/>
    </row>
    <row r="765" ht="15.75" customHeight="1">
      <c r="M765" s="23"/>
    </row>
    <row r="766" ht="15.75" customHeight="1">
      <c r="M766" s="23"/>
    </row>
    <row r="767" ht="15.75" customHeight="1">
      <c r="M767" s="23"/>
    </row>
    <row r="768" ht="15.75" customHeight="1">
      <c r="M768" s="23"/>
    </row>
    <row r="769" ht="15.75" customHeight="1">
      <c r="M769" s="23"/>
    </row>
    <row r="770" ht="15.75" customHeight="1">
      <c r="M770" s="23"/>
    </row>
    <row r="771" ht="15.75" customHeight="1">
      <c r="M771" s="23"/>
    </row>
    <row r="772" ht="15.75" customHeight="1">
      <c r="M772" s="23"/>
    </row>
    <row r="773" ht="15.75" customHeight="1">
      <c r="M773" s="23"/>
    </row>
    <row r="774" ht="15.75" customHeight="1">
      <c r="M774" s="23"/>
    </row>
    <row r="775" ht="15.75" customHeight="1">
      <c r="M775" s="23"/>
    </row>
    <row r="776" ht="15.75" customHeight="1">
      <c r="M776" s="23"/>
    </row>
    <row r="777" ht="15.75" customHeight="1">
      <c r="M777" s="23"/>
    </row>
    <row r="778" ht="15.75" customHeight="1">
      <c r="M778" s="23"/>
    </row>
    <row r="779" ht="15.75" customHeight="1">
      <c r="M779" s="23"/>
    </row>
    <row r="780" ht="15.75" customHeight="1">
      <c r="M780" s="23"/>
    </row>
    <row r="781" ht="15.75" customHeight="1">
      <c r="M781" s="23"/>
    </row>
    <row r="782" ht="15.75" customHeight="1">
      <c r="M782" s="23"/>
    </row>
    <row r="783" ht="15.75" customHeight="1">
      <c r="M783" s="23"/>
    </row>
    <row r="784" ht="15.75" customHeight="1">
      <c r="M784" s="23"/>
    </row>
    <row r="785" ht="15.75" customHeight="1">
      <c r="M785" s="23"/>
    </row>
    <row r="786" ht="15.75" customHeight="1">
      <c r="M786" s="23"/>
    </row>
    <row r="787" ht="15.75" customHeight="1">
      <c r="M787" s="23"/>
    </row>
    <row r="788" ht="15.75" customHeight="1">
      <c r="M788" s="23"/>
    </row>
    <row r="789" ht="15.75" customHeight="1">
      <c r="M789" s="23"/>
    </row>
    <row r="790" ht="15.75" customHeight="1">
      <c r="M790" s="23"/>
    </row>
    <row r="791" ht="15.75" customHeight="1">
      <c r="M791" s="23"/>
    </row>
    <row r="792" ht="15.75" customHeight="1">
      <c r="M792" s="23"/>
    </row>
    <row r="793" ht="15.75" customHeight="1">
      <c r="M793" s="23"/>
    </row>
    <row r="794" ht="15.75" customHeight="1">
      <c r="M794" s="23"/>
    </row>
    <row r="795" ht="15.75" customHeight="1">
      <c r="M795" s="23"/>
    </row>
    <row r="796" ht="15.75" customHeight="1">
      <c r="M796" s="23"/>
    </row>
    <row r="797" ht="15.75" customHeight="1">
      <c r="M797" s="23"/>
    </row>
    <row r="798" ht="15.75" customHeight="1">
      <c r="M798" s="23"/>
    </row>
    <row r="799" ht="15.75" customHeight="1">
      <c r="M799" s="23"/>
    </row>
    <row r="800" ht="15.75" customHeight="1">
      <c r="M800" s="23"/>
    </row>
    <row r="801" ht="15.75" customHeight="1">
      <c r="M801" s="23"/>
    </row>
    <row r="802" ht="15.75" customHeight="1">
      <c r="M802" s="23"/>
    </row>
    <row r="803" ht="15.75" customHeight="1">
      <c r="M803" s="23"/>
    </row>
    <row r="804" ht="15.75" customHeight="1">
      <c r="M804" s="23"/>
    </row>
    <row r="805" ht="15.75" customHeight="1">
      <c r="M805" s="23"/>
    </row>
    <row r="806" ht="15.75" customHeight="1">
      <c r="M806" s="23"/>
    </row>
    <row r="807" ht="15.75" customHeight="1">
      <c r="M807" s="23"/>
    </row>
    <row r="808" ht="15.75" customHeight="1">
      <c r="M808" s="23"/>
    </row>
    <row r="809" ht="15.75" customHeight="1">
      <c r="M809" s="23"/>
    </row>
    <row r="810" ht="15.75" customHeight="1">
      <c r="M810" s="23"/>
    </row>
    <row r="811" ht="15.75" customHeight="1">
      <c r="M811" s="23"/>
    </row>
    <row r="812" ht="15.75" customHeight="1">
      <c r="M812" s="23"/>
    </row>
    <row r="813" ht="15.75" customHeight="1">
      <c r="M813" s="23"/>
    </row>
    <row r="814" ht="15.75" customHeight="1">
      <c r="M814" s="23"/>
    </row>
    <row r="815" ht="15.75" customHeight="1">
      <c r="M815" s="23"/>
    </row>
    <row r="816" ht="15.75" customHeight="1">
      <c r="M816" s="23"/>
    </row>
    <row r="817" ht="15.75" customHeight="1">
      <c r="M817" s="23"/>
    </row>
    <row r="818" ht="15.75" customHeight="1">
      <c r="M818" s="23"/>
    </row>
    <row r="819" ht="15.75" customHeight="1">
      <c r="M819" s="23"/>
    </row>
    <row r="820" ht="15.75" customHeight="1">
      <c r="M820" s="23"/>
    </row>
    <row r="821" ht="15.75" customHeight="1">
      <c r="M821" s="23"/>
    </row>
    <row r="822" ht="15.75" customHeight="1">
      <c r="M822" s="23"/>
    </row>
    <row r="823" ht="15.75" customHeight="1">
      <c r="M823" s="23"/>
    </row>
    <row r="824" ht="15.75" customHeight="1">
      <c r="M824" s="23"/>
    </row>
    <row r="825" ht="15.75" customHeight="1">
      <c r="M825" s="23"/>
    </row>
    <row r="826" ht="15.75" customHeight="1">
      <c r="M826" s="23"/>
    </row>
    <row r="827" ht="15.75" customHeight="1">
      <c r="M827" s="23"/>
    </row>
    <row r="828" ht="15.75" customHeight="1">
      <c r="M828" s="23"/>
    </row>
    <row r="829" ht="15.75" customHeight="1">
      <c r="M829" s="23"/>
    </row>
    <row r="830" ht="15.75" customHeight="1">
      <c r="M830" s="23"/>
    </row>
    <row r="831" ht="15.75" customHeight="1">
      <c r="M831" s="23"/>
    </row>
    <row r="832" ht="15.75" customHeight="1">
      <c r="M832" s="23"/>
    </row>
    <row r="833" ht="15.75" customHeight="1">
      <c r="M833" s="23"/>
    </row>
    <row r="834" ht="15.75" customHeight="1">
      <c r="M834" s="23"/>
    </row>
    <row r="835" ht="15.75" customHeight="1">
      <c r="M835" s="23"/>
    </row>
    <row r="836" ht="15.75" customHeight="1">
      <c r="M836" s="23"/>
    </row>
    <row r="837" ht="15.75" customHeight="1">
      <c r="M837" s="23"/>
    </row>
    <row r="838" ht="15.75" customHeight="1">
      <c r="M838" s="23"/>
    </row>
    <row r="839" ht="15.75" customHeight="1">
      <c r="M839" s="23"/>
    </row>
    <row r="840" ht="15.75" customHeight="1">
      <c r="M840" s="23"/>
    </row>
    <row r="841" ht="15.75" customHeight="1">
      <c r="M841" s="23"/>
    </row>
    <row r="842" ht="15.75" customHeight="1">
      <c r="M842" s="23"/>
    </row>
    <row r="843" ht="15.75" customHeight="1">
      <c r="M843" s="23"/>
    </row>
    <row r="844" ht="15.75" customHeight="1">
      <c r="M844" s="23"/>
    </row>
    <row r="845" ht="15.75" customHeight="1">
      <c r="M845" s="23"/>
    </row>
    <row r="846" ht="15.75" customHeight="1">
      <c r="M846" s="23"/>
    </row>
    <row r="847" ht="15.75" customHeight="1">
      <c r="M847" s="23"/>
    </row>
    <row r="848" ht="15.75" customHeight="1">
      <c r="M848" s="23"/>
    </row>
    <row r="849" ht="15.75" customHeight="1">
      <c r="M849" s="23"/>
    </row>
    <row r="850" ht="15.75" customHeight="1">
      <c r="M850" s="23"/>
    </row>
    <row r="851" ht="15.75" customHeight="1">
      <c r="M851" s="23"/>
    </row>
    <row r="852" ht="15.75" customHeight="1">
      <c r="M852" s="23"/>
    </row>
    <row r="853" ht="15.75" customHeight="1">
      <c r="M853" s="23"/>
    </row>
    <row r="854" ht="15.75" customHeight="1">
      <c r="M854" s="23"/>
    </row>
    <row r="855" ht="15.75" customHeight="1">
      <c r="M855" s="23"/>
    </row>
    <row r="856" ht="15.75" customHeight="1">
      <c r="M856" s="23"/>
    </row>
    <row r="857" ht="15.75" customHeight="1">
      <c r="M857" s="23"/>
    </row>
    <row r="858" ht="15.75" customHeight="1">
      <c r="M858" s="23"/>
    </row>
    <row r="859" ht="15.75" customHeight="1">
      <c r="M859" s="23"/>
    </row>
    <row r="860" ht="15.75" customHeight="1">
      <c r="M860" s="23"/>
    </row>
    <row r="861" ht="15.75" customHeight="1">
      <c r="M861" s="23"/>
    </row>
    <row r="862" ht="15.75" customHeight="1">
      <c r="M862" s="23"/>
    </row>
    <row r="863" ht="15.75" customHeight="1">
      <c r="M863" s="23"/>
    </row>
    <row r="864" ht="15.75" customHeight="1">
      <c r="M864" s="23"/>
    </row>
    <row r="865" ht="15.75" customHeight="1">
      <c r="M865" s="23"/>
    </row>
    <row r="866" ht="15.75" customHeight="1">
      <c r="M866" s="23"/>
    </row>
    <row r="867" ht="15.75" customHeight="1">
      <c r="M867" s="23"/>
    </row>
    <row r="868" ht="15.75" customHeight="1">
      <c r="M868" s="23"/>
    </row>
    <row r="869" ht="15.75" customHeight="1">
      <c r="M869" s="23"/>
    </row>
    <row r="870" ht="15.75" customHeight="1">
      <c r="M870" s="23"/>
    </row>
    <row r="871" ht="15.75" customHeight="1">
      <c r="M871" s="23"/>
    </row>
    <row r="872" ht="15.75" customHeight="1">
      <c r="M872" s="23"/>
    </row>
    <row r="873" ht="15.75" customHeight="1">
      <c r="M873" s="23"/>
    </row>
    <row r="874" ht="15.75" customHeight="1">
      <c r="M874" s="23"/>
    </row>
    <row r="875" ht="15.75" customHeight="1">
      <c r="M875" s="23"/>
    </row>
    <row r="876" ht="15.75" customHeight="1">
      <c r="M876" s="23"/>
    </row>
    <row r="877" ht="15.75" customHeight="1">
      <c r="M877" s="23"/>
    </row>
    <row r="878" ht="15.75" customHeight="1">
      <c r="M878" s="23"/>
    </row>
    <row r="879" ht="15.75" customHeight="1">
      <c r="M879" s="23"/>
    </row>
    <row r="880" ht="15.75" customHeight="1">
      <c r="M880" s="23"/>
    </row>
    <row r="881" ht="15.75" customHeight="1">
      <c r="M881" s="23"/>
    </row>
    <row r="882" ht="15.75" customHeight="1">
      <c r="M882" s="23"/>
    </row>
    <row r="883" ht="15.75" customHeight="1">
      <c r="M883" s="23"/>
    </row>
    <row r="884" ht="15.75" customHeight="1">
      <c r="M884" s="23"/>
    </row>
    <row r="885" ht="15.75" customHeight="1">
      <c r="M885" s="23"/>
    </row>
    <row r="886" ht="15.75" customHeight="1">
      <c r="M886" s="23"/>
    </row>
    <row r="887" ht="15.75" customHeight="1">
      <c r="M887" s="23"/>
    </row>
    <row r="888" ht="15.75" customHeight="1">
      <c r="M888" s="23"/>
    </row>
    <row r="889" ht="15.75" customHeight="1">
      <c r="M889" s="23"/>
    </row>
    <row r="890" ht="15.75" customHeight="1">
      <c r="M890" s="23"/>
    </row>
    <row r="891" ht="15.75" customHeight="1">
      <c r="M891" s="23"/>
    </row>
    <row r="892" ht="15.75" customHeight="1">
      <c r="M892" s="23"/>
    </row>
    <row r="893" ht="15.75" customHeight="1">
      <c r="M893" s="23"/>
    </row>
    <row r="894" ht="15.75" customHeight="1">
      <c r="M894" s="23"/>
    </row>
    <row r="895" ht="15.75" customHeight="1">
      <c r="M895" s="23"/>
    </row>
    <row r="896" ht="15.75" customHeight="1">
      <c r="M896" s="23"/>
    </row>
    <row r="897" ht="15.75" customHeight="1">
      <c r="M897" s="23"/>
    </row>
    <row r="898" ht="15.75" customHeight="1">
      <c r="M898" s="23"/>
    </row>
    <row r="899" ht="15.75" customHeight="1">
      <c r="M899" s="23"/>
    </row>
    <row r="900" ht="15.75" customHeight="1">
      <c r="M900" s="23"/>
    </row>
    <row r="901" ht="15.75" customHeight="1">
      <c r="M901" s="23"/>
    </row>
    <row r="902" ht="15.75" customHeight="1">
      <c r="M902" s="23"/>
    </row>
    <row r="903" ht="15.75" customHeight="1">
      <c r="M903" s="23"/>
    </row>
    <row r="904" ht="15.75" customHeight="1">
      <c r="M904" s="23"/>
    </row>
    <row r="905" ht="15.75" customHeight="1">
      <c r="M905" s="23"/>
    </row>
    <row r="906" ht="15.75" customHeight="1">
      <c r="M906" s="23"/>
    </row>
    <row r="907" ht="15.75" customHeight="1">
      <c r="M907" s="23"/>
    </row>
    <row r="908" ht="15.75" customHeight="1">
      <c r="M908" s="23"/>
    </row>
    <row r="909" ht="15.75" customHeight="1">
      <c r="M909" s="23"/>
    </row>
    <row r="910" ht="15.75" customHeight="1">
      <c r="M910" s="23"/>
    </row>
    <row r="911" ht="15.75" customHeight="1">
      <c r="M911" s="23"/>
    </row>
    <row r="912" ht="15.75" customHeight="1">
      <c r="M912" s="23"/>
    </row>
    <row r="913" ht="15.75" customHeight="1">
      <c r="M913" s="23"/>
    </row>
    <row r="914" ht="15.75" customHeight="1">
      <c r="M914" s="23"/>
    </row>
    <row r="915" ht="15.75" customHeight="1">
      <c r="M915" s="23"/>
    </row>
    <row r="916" ht="15.75" customHeight="1">
      <c r="M916" s="23"/>
    </row>
    <row r="917" ht="15.75" customHeight="1">
      <c r="M917" s="23"/>
    </row>
    <row r="918" ht="15.75" customHeight="1">
      <c r="M918" s="23"/>
    </row>
    <row r="919" ht="15.75" customHeight="1">
      <c r="M919" s="23"/>
    </row>
    <row r="920" ht="15.75" customHeight="1">
      <c r="M920" s="23"/>
    </row>
    <row r="921" ht="15.75" customHeight="1">
      <c r="M921" s="23"/>
    </row>
    <row r="922" ht="15.75" customHeight="1">
      <c r="M922" s="23"/>
    </row>
    <row r="923" ht="15.75" customHeight="1">
      <c r="M923" s="23"/>
    </row>
    <row r="924" ht="15.75" customHeight="1">
      <c r="M924" s="23"/>
    </row>
    <row r="925" ht="15.75" customHeight="1">
      <c r="M925" s="23"/>
    </row>
    <row r="926" ht="15.75" customHeight="1">
      <c r="M926" s="23"/>
    </row>
    <row r="927" ht="15.75" customHeight="1">
      <c r="M927" s="23"/>
    </row>
    <row r="928" ht="15.75" customHeight="1">
      <c r="M928" s="23"/>
    </row>
    <row r="929" ht="15.75" customHeight="1">
      <c r="M929" s="23"/>
    </row>
    <row r="930" ht="15.75" customHeight="1">
      <c r="M930" s="23"/>
    </row>
    <row r="931" ht="15.75" customHeight="1">
      <c r="M931" s="23"/>
    </row>
    <row r="932" ht="15.75" customHeight="1">
      <c r="M932" s="23"/>
    </row>
    <row r="933" ht="15.75" customHeight="1">
      <c r="M933" s="23"/>
    </row>
    <row r="934" ht="15.75" customHeight="1">
      <c r="M934" s="23"/>
    </row>
    <row r="935" ht="15.75" customHeight="1">
      <c r="M935" s="23"/>
    </row>
    <row r="936" ht="15.75" customHeight="1">
      <c r="M936" s="23"/>
    </row>
    <row r="937" ht="15.75" customHeight="1">
      <c r="M937" s="23"/>
    </row>
    <row r="938" ht="15.75" customHeight="1">
      <c r="M938" s="23"/>
    </row>
    <row r="939" ht="15.75" customHeight="1">
      <c r="M939" s="23"/>
    </row>
    <row r="940" ht="15.75" customHeight="1">
      <c r="M940" s="23"/>
    </row>
    <row r="941" ht="15.75" customHeight="1">
      <c r="M941" s="23"/>
    </row>
    <row r="942" ht="15.75" customHeight="1">
      <c r="M942" s="23"/>
    </row>
    <row r="943" ht="15.75" customHeight="1">
      <c r="M943" s="23"/>
    </row>
    <row r="944" ht="15.75" customHeight="1">
      <c r="M944" s="23"/>
    </row>
    <row r="945" ht="15.75" customHeight="1">
      <c r="M945" s="23"/>
    </row>
    <row r="946" ht="15.75" customHeight="1">
      <c r="M946" s="23"/>
    </row>
    <row r="947" ht="15.75" customHeight="1">
      <c r="M947" s="23"/>
    </row>
    <row r="948" ht="15.75" customHeight="1">
      <c r="M948" s="23"/>
    </row>
    <row r="949" ht="15.75" customHeight="1">
      <c r="M949" s="23"/>
    </row>
    <row r="950" ht="15.75" customHeight="1">
      <c r="M950" s="23"/>
    </row>
    <row r="951" ht="15.75" customHeight="1">
      <c r="M951" s="23"/>
    </row>
    <row r="952" ht="15.75" customHeight="1">
      <c r="M952" s="23"/>
    </row>
    <row r="953" ht="15.75" customHeight="1">
      <c r="M953" s="23"/>
    </row>
    <row r="954" ht="15.75" customHeight="1">
      <c r="M954" s="23"/>
    </row>
    <row r="955" ht="15.75" customHeight="1">
      <c r="M955" s="23"/>
    </row>
    <row r="956" ht="15.75" customHeight="1">
      <c r="M956" s="23"/>
    </row>
    <row r="957" ht="15.75" customHeight="1">
      <c r="M957" s="23"/>
    </row>
    <row r="958" ht="15.75" customHeight="1">
      <c r="M958" s="23"/>
    </row>
    <row r="959" ht="15.75" customHeight="1">
      <c r="M959" s="23"/>
    </row>
    <row r="960" ht="15.75" customHeight="1">
      <c r="M960" s="23"/>
    </row>
    <row r="961" ht="15.75" customHeight="1">
      <c r="M961" s="23"/>
    </row>
    <row r="962" ht="15.75" customHeight="1">
      <c r="M962" s="23"/>
    </row>
    <row r="963" ht="15.75" customHeight="1">
      <c r="M963" s="23"/>
    </row>
    <row r="964" ht="15.75" customHeight="1">
      <c r="M964" s="23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13" width="6.14"/>
    <col customWidth="1" min="14" max="15" width="11.43"/>
    <col customWidth="1" min="16" max="26" width="17.43"/>
  </cols>
  <sheetData>
    <row r="1">
      <c r="A1" s="9">
        <v>2023.0</v>
      </c>
      <c r="B1" s="9" t="s">
        <v>1089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>
      <c r="A2" s="10" t="s">
        <v>2</v>
      </c>
      <c r="B2" s="10">
        <v>10.0</v>
      </c>
      <c r="C2" s="10">
        <v>11.0</v>
      </c>
      <c r="D2" s="10">
        <v>12.0</v>
      </c>
      <c r="E2" s="10">
        <v>1.0</v>
      </c>
      <c r="F2" s="10">
        <v>2.0</v>
      </c>
      <c r="G2" s="10">
        <v>3.0</v>
      </c>
      <c r="H2" s="10">
        <v>4.0</v>
      </c>
      <c r="I2" s="10">
        <v>5.0</v>
      </c>
      <c r="J2" s="10">
        <v>6.0</v>
      </c>
      <c r="K2" s="10">
        <v>7.0</v>
      </c>
      <c r="L2" s="10">
        <v>8.0</v>
      </c>
      <c r="M2" s="10">
        <v>9.0</v>
      </c>
      <c r="N2" s="11"/>
      <c r="O2" s="11"/>
    </row>
    <row r="3">
      <c r="A3" s="11"/>
      <c r="B3" s="11" t="s">
        <v>1090</v>
      </c>
      <c r="C3" s="11" t="s">
        <v>1091</v>
      </c>
      <c r="D3" s="11" t="s">
        <v>1092</v>
      </c>
      <c r="E3" s="11" t="s">
        <v>1093</v>
      </c>
      <c r="F3" s="11" t="s">
        <v>1094</v>
      </c>
      <c r="G3" s="11" t="s">
        <v>1095</v>
      </c>
      <c r="H3" s="11" t="s">
        <v>1096</v>
      </c>
      <c r="I3" s="11" t="s">
        <v>1097</v>
      </c>
      <c r="J3" s="11" t="s">
        <v>1098</v>
      </c>
      <c r="K3" s="11" t="s">
        <v>1099</v>
      </c>
      <c r="L3" s="11" t="s">
        <v>1100</v>
      </c>
      <c r="M3" s="11" t="s">
        <v>1101</v>
      </c>
      <c r="N3" s="11"/>
      <c r="O3" s="11"/>
    </row>
    <row r="4">
      <c r="A4" s="10" t="s">
        <v>1102</v>
      </c>
      <c r="B4" s="24">
        <f>IFERROR(__xludf.DUMMYFUNCTION("IFNA(ARRAYFORMULA(SUM(FILTER(Data!$N:$N, Data!$C:$C=B$2))), 0)"),10.0)</f>
        <v>10</v>
      </c>
      <c r="C4" s="24">
        <f>IFERROR(__xludf.DUMMYFUNCTION("IFNA(ARRAYFORMULA(SUM(FILTER(Data!$N:$N, Data!$C:$C=C$2))), 0)"),49.0)</f>
        <v>49</v>
      </c>
      <c r="D4" s="24">
        <f>IFERROR(__xludf.DUMMYFUNCTION("IFNA(ARRAYFORMULA(SUM(FILTER(Data!$N:$N, Data!$C:$C=D$2))), 0)"),158.0)</f>
        <v>158</v>
      </c>
      <c r="E4" s="24">
        <f>IFERROR(__xludf.DUMMYFUNCTION("IFNA(ARRAYFORMULA(SUM(FILTER(Data!$N:$N, Data!$C:$C=E$2))), 0)"),273.0)</f>
        <v>273</v>
      </c>
      <c r="F4" s="24">
        <f>IFERROR(__xludf.DUMMYFUNCTION("IFNA(ARRAYFORMULA(SUM(FILTER(Data!$N:$N, Data!$C:$C=F$2))), 0)"),280.0)</f>
        <v>280</v>
      </c>
      <c r="G4" s="24">
        <f>IFERROR(__xludf.DUMMYFUNCTION("IFNA(ARRAYFORMULA(SUM(FILTER(Data!$N:$N, Data!$C:$C=G$2))), 0)"),215.0)</f>
        <v>215</v>
      </c>
      <c r="H4" s="24">
        <f>IFERROR(__xludf.DUMMYFUNCTION("IFNA(ARRAYFORMULA(SUM(FILTER(Data!$N:$N, Data!$C:$C=H$2))), 0)"),123.0)</f>
        <v>123</v>
      </c>
      <c r="I4" s="24">
        <f>IFERROR(__xludf.DUMMYFUNCTION("IFNA(ARRAYFORMULA(SUM(FILTER(Data!$N:$N, Data!$C:$C=I$2))), 0)"),48.0)</f>
        <v>48</v>
      </c>
      <c r="J4" s="24">
        <f>IFERROR(__xludf.DUMMYFUNCTION("IFNA(ARRAYFORMULA(SUM(FILTER(Data!$N:$N, Data!$C:$C=J$2))), 0)"),45.0)</f>
        <v>45</v>
      </c>
      <c r="K4" s="24">
        <f>IFERROR(__xludf.DUMMYFUNCTION("IFNA(ARRAYFORMULA(SUM(FILTER(Data!$N:$N, Data!$C:$C=K$2))), 0)"),6.0)</f>
        <v>6</v>
      </c>
      <c r="L4" s="24">
        <f>IFERROR(__xludf.DUMMYFUNCTION("IFNA(ARRAYFORMULA(SUM(FILTER(Data!$N:$N, Data!$C:$C=L$2))), 0)"),8.0)</f>
        <v>8</v>
      </c>
      <c r="M4" s="24">
        <f>IFERROR(__xludf.DUMMYFUNCTION("IFNA(ARRAYFORMULA(SUM(FILTER(Data!$N:$N, Data!$C:$C=M$2))), 0)"),1.0)</f>
        <v>1</v>
      </c>
      <c r="N4" s="11"/>
      <c r="O4" s="11"/>
    </row>
    <row r="5">
      <c r="A5" s="10" t="s">
        <v>1103</v>
      </c>
      <c r="B5" s="25">
        <f>IFERROR(__xludf.DUMMYFUNCTION("IFNA(ARRAYFORMULA(SUM(FILTER(Data!$N:$N, Data!$C:$C=B$2, Data!$A:$A&gt;$A$1-10))), 0)"),1.0)</f>
        <v>1</v>
      </c>
      <c r="C5" s="25">
        <f>IFERROR(__xludf.DUMMYFUNCTION("IFNA(ARRAYFORMULA(SUM(FILTER(Data!$N:$N, Data!$C:$C=C$2, Data!$A:$A&gt;$A$1-10))), 0)"),4.0)</f>
        <v>4</v>
      </c>
      <c r="D5" s="25">
        <f>IFERROR(__xludf.DUMMYFUNCTION("IFNA(ARRAYFORMULA(SUM(FILTER(Data!$N:$N, Data!$C:$C=D$2, Data!$A:$A&gt;$A$1-10))), 0)"),30.0)</f>
        <v>30</v>
      </c>
      <c r="E5" s="25">
        <f>IFERROR(__xludf.DUMMYFUNCTION("IFNA(ARRAYFORMULA(SUM(FILTER(Data!$N:$N, Data!$C:$C=E$2, Data!$A:$A&gt;$A$1-10))), 0)"),54.0)</f>
        <v>54</v>
      </c>
      <c r="F5" s="25">
        <f>IFERROR(__xludf.DUMMYFUNCTION("IFNA(ARRAYFORMULA(SUM(FILTER(Data!$N:$N, Data!$C:$C=F$2, Data!$A:$A&gt;$A$1-10))), 0)"),73.0)</f>
        <v>73</v>
      </c>
      <c r="G5" s="25">
        <f>IFERROR(__xludf.DUMMYFUNCTION("IFNA(ARRAYFORMULA(SUM(FILTER(Data!$N:$N, Data!$C:$C=G$2, Data!$A:$A&gt;$A$1-10))), 0)"),43.0)</f>
        <v>43</v>
      </c>
      <c r="H5" s="25">
        <f>IFERROR(__xludf.DUMMYFUNCTION("IFNA(ARRAYFORMULA(SUM(FILTER(Data!$N:$N, Data!$C:$C=H$2, Data!$A:$A&gt;$A$1-10))), 0)"),21.0)</f>
        <v>21</v>
      </c>
      <c r="I5" s="25">
        <f>IFERROR(__xludf.DUMMYFUNCTION("IFNA(ARRAYFORMULA(SUM(FILTER(Data!$N:$N, Data!$C:$C=I$2, Data!$A:$A&gt;$A$1-10))), 0)"),16.0)</f>
        <v>16</v>
      </c>
      <c r="J5" s="25">
        <f>IFERROR(__xludf.DUMMYFUNCTION("IFNA(ARRAYFORMULA(SUM(FILTER(Data!$N:$N, Data!$C:$C=J$2, Data!$A:$A&gt;$A$1-10))), 0)"),1.0)</f>
        <v>1</v>
      </c>
      <c r="K5" s="25">
        <f>IFERROR(__xludf.DUMMYFUNCTION("IFNA(ARRAYFORMULA(SUM(FILTER(Data!$N:$N, Data!$C:$C=K$2, Data!$A:$A&gt;$A$1-10))), 0)"),1.0)</f>
        <v>1</v>
      </c>
      <c r="L5" s="25">
        <f>IFERROR(__xludf.DUMMYFUNCTION("IFNA(ARRAYFORMULA(SUM(FILTER(Data!$N:$N, Data!$C:$C=L$2, Data!$A:$A&gt;$A$1-10))), 0)"),0.0)</f>
        <v>0</v>
      </c>
      <c r="M5" s="25">
        <f>IFERROR(__xludf.DUMMYFUNCTION("IFNA(ARRAYFORMULA(SUM(FILTER(Data!$N:$N, Data!$C:$C=M$2, Data!$A:$A&gt;$A$1-10))), 0)"),0.0)</f>
        <v>0</v>
      </c>
      <c r="N5" s="11"/>
      <c r="O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>
      <c r="A12" s="10" t="s">
        <v>1104</v>
      </c>
      <c r="B12" s="11" t="s">
        <v>1090</v>
      </c>
      <c r="C12" s="11" t="s">
        <v>1091</v>
      </c>
      <c r="D12" s="11" t="s">
        <v>1092</v>
      </c>
      <c r="E12" s="11" t="s">
        <v>1093</v>
      </c>
      <c r="F12" s="11" t="s">
        <v>1094</v>
      </c>
      <c r="G12" s="11" t="s">
        <v>1095</v>
      </c>
      <c r="H12" s="11" t="s">
        <v>1096</v>
      </c>
      <c r="I12" s="11" t="s">
        <v>1097</v>
      </c>
      <c r="J12" s="11" t="s">
        <v>1098</v>
      </c>
      <c r="K12" s="11" t="s">
        <v>1099</v>
      </c>
      <c r="L12" s="11" t="s">
        <v>1100</v>
      </c>
      <c r="M12" s="11" t="s">
        <v>1101</v>
      </c>
      <c r="N12" s="11"/>
      <c r="O12" s="11"/>
    </row>
    <row r="13">
      <c r="A13" s="10" t="s">
        <v>1102</v>
      </c>
      <c r="B13" s="24">
        <f>IFERROR(__xludf.DUMMYFUNCTION("IFNA(ARRAYFORMULA(SUM(FILTER(Data!$N:$N, Data!$C:$C=B$2, Data!$I:$I=""CO""))), 0)"),6.0)</f>
        <v>6</v>
      </c>
      <c r="C13" s="24">
        <f>IFERROR(__xludf.DUMMYFUNCTION("IFNA(ARRAYFORMULA(SUM(FILTER(Data!$N:$N, Data!$C:$C=C$2, Data!$I:$I=""CO""))), 0)"),16.0)</f>
        <v>16</v>
      </c>
      <c r="D13" s="24">
        <f>IFERROR(__xludf.DUMMYFUNCTION("IFNA(ARRAYFORMULA(SUM(FILTER(Data!$N:$N, Data!$C:$C=D$2, Data!$I:$I=""CO""))), 0)"),41.0)</f>
        <v>41</v>
      </c>
      <c r="E13" s="24">
        <f>IFERROR(__xludf.DUMMYFUNCTION("IFNA(ARRAYFORMULA(SUM(FILTER(Data!$N:$N, Data!$C:$C=E$2, Data!$I:$I=""CO""))), 0)"),69.0)</f>
        <v>69</v>
      </c>
      <c r="F13" s="24">
        <f>IFERROR(__xludf.DUMMYFUNCTION("IFNA(ARRAYFORMULA(SUM(FILTER(Data!$N:$N, Data!$C:$C=F$2, Data!$I:$I=""CO""))), 0)"),77.0)</f>
        <v>77</v>
      </c>
      <c r="G13" s="24">
        <f>IFERROR(__xludf.DUMMYFUNCTION("IFNA(ARRAYFORMULA(SUM(FILTER(Data!$N:$N, Data!$C:$C=G$2, Data!$I:$I=""CO""))), 0)"),68.0)</f>
        <v>68</v>
      </c>
      <c r="H13" s="24">
        <f>IFERROR(__xludf.DUMMYFUNCTION("IFNA(ARRAYFORMULA(SUM(FILTER(Data!$N:$N, Data!$C:$C=H$2, Data!$I:$I=""CO""))), 0)"),35.0)</f>
        <v>35</v>
      </c>
      <c r="I13" s="24">
        <f>IFERROR(__xludf.DUMMYFUNCTION("IFNA(ARRAYFORMULA(SUM(FILTER(Data!$N:$N, Data!$C:$C=I$2, Data!$I:$I=""CO""))), 0)"),4.0)</f>
        <v>4</v>
      </c>
      <c r="J13" s="24">
        <f>IFERROR(__xludf.DUMMYFUNCTION("IFNA(ARRAYFORMULA(SUM(FILTER(Data!$N:$N, Data!$C:$C=J$2, Data!$I:$I=""CO""))), 0)"),4.0)</f>
        <v>4</v>
      </c>
      <c r="K13" s="24">
        <f>IFERROR(__xludf.DUMMYFUNCTION("IFNA(ARRAYFORMULA(SUM(FILTER(Data!$N:$N, Data!$C:$C=K$2, Data!$I:$I=""CO""))), 0)"),2.0)</f>
        <v>2</v>
      </c>
      <c r="L13" s="24">
        <f>IFERROR(__xludf.DUMMYFUNCTION("IFNA(ARRAYFORMULA(SUM(FILTER(Data!$N:$N, Data!$C:$C=L$2, Data!$I:$I=""CO""))), 0)"),1.0)</f>
        <v>1</v>
      </c>
      <c r="M13" s="24">
        <f>IFERROR(__xludf.DUMMYFUNCTION("IFNA(ARRAYFORMULA(SUM(FILTER(Data!$N:$N, Data!$C:$C=M$2, Data!$I:$I=""CO""))), 0)"),0.0)</f>
        <v>0</v>
      </c>
      <c r="N13" s="11"/>
      <c r="O13" s="11"/>
    </row>
    <row r="14">
      <c r="A14" s="10" t="s">
        <v>1103</v>
      </c>
      <c r="B14" s="25">
        <f>IFERROR(__xludf.DUMMYFUNCTION("IFNA(ARRAYFORMULA(SUM(FILTER(Data!$N:$N, Data!$C:$C=B$2, Data!$I:$I=""CO"", Data!$A:$A&gt;$A$1-10))), 0)"),0.0)</f>
        <v>0</v>
      </c>
      <c r="C14" s="25">
        <f>IFERROR(__xludf.DUMMYFUNCTION("IFNA(ARRAYFORMULA(SUM(FILTER(Data!$N:$N, Data!$C:$C=C$2, Data!$I:$I=""CO"", Data!$A:$A&gt;$A$1-10))), 0)"),0.0)</f>
        <v>0</v>
      </c>
      <c r="D14" s="25">
        <f>IFERROR(__xludf.DUMMYFUNCTION("IFNA(ARRAYFORMULA(SUM(FILTER(Data!$N:$N, Data!$C:$C=D$2, Data!$I:$I=""CO"", Data!$A:$A&gt;$A$1-10))), 0)"),10.0)</f>
        <v>10</v>
      </c>
      <c r="E14" s="25">
        <f>IFERROR(__xludf.DUMMYFUNCTION("IFNA(ARRAYFORMULA(SUM(FILTER(Data!$N:$N, Data!$C:$C=E$2, Data!$I:$I=""CO"", Data!$A:$A&gt;$A$1-10))), 0)"),13.0)</f>
        <v>13</v>
      </c>
      <c r="F14" s="25">
        <f>IFERROR(__xludf.DUMMYFUNCTION("IFNA(ARRAYFORMULA(SUM(FILTER(Data!$N:$N, Data!$C:$C=F$2, Data!$I:$I=""CO"", Data!$A:$A&gt;$A$1-10))), 0)"),24.0)</f>
        <v>24</v>
      </c>
      <c r="G14" s="25">
        <f>IFERROR(__xludf.DUMMYFUNCTION("IFNA(ARRAYFORMULA(SUM(FILTER(Data!$N:$N, Data!$C:$C=G$2, Data!$I:$I=""CO"", Data!$A:$A&gt;$A$1-10))), 0)"),11.0)</f>
        <v>11</v>
      </c>
      <c r="H14" s="25">
        <f>IFERROR(__xludf.DUMMYFUNCTION("IFNA(ARRAYFORMULA(SUM(FILTER(Data!$N:$N, Data!$C:$C=H$2, Data!$I:$I=""CO"", Data!$A:$A&gt;$A$1-10))), 0)"),5.0)</f>
        <v>5</v>
      </c>
      <c r="I14" s="25">
        <f>IFERROR(__xludf.DUMMYFUNCTION("IFNA(ARRAYFORMULA(SUM(FILTER(Data!$N:$N, Data!$C:$C=I$2, Data!$I:$I=""CO"", Data!$A:$A&gt;$A$1-10))), 0)"),1.0)</f>
        <v>1</v>
      </c>
      <c r="J14" s="25">
        <f>IFERROR(__xludf.DUMMYFUNCTION("IFNA(ARRAYFORMULA(SUM(FILTER(Data!$N:$N, Data!$C:$C=J$2, Data!$I:$I=""CO"", Data!$A:$A&gt;$A$1-10))), 0)"),0.0)</f>
        <v>0</v>
      </c>
      <c r="K14" s="25">
        <f>IFERROR(__xludf.DUMMYFUNCTION("IFNA(ARRAYFORMULA(SUM(FILTER(Data!$N:$N, Data!$C:$C=K$2, Data!$I:$I=""CO"", Data!$A:$A&gt;$A$1-10))), 0)"),0.0)</f>
        <v>0</v>
      </c>
      <c r="L14" s="25">
        <f>IFERROR(__xludf.DUMMYFUNCTION("IFNA(ARRAYFORMULA(SUM(FILTER(Data!$N:$N, Data!$C:$C=L$2, Data!$I:$I=""CO"", Data!$A:$A&gt;$A$1-10))), 0)"),0.0)</f>
        <v>0</v>
      </c>
      <c r="M14" s="25">
        <f>IFERROR(__xludf.DUMMYFUNCTION("IFNA(ARRAYFORMULA(SUM(FILTER(Data!$N:$N, Data!$C:$C=M$2, Data!$I:$I=""CO"", Data!$A:$A&gt;$A$1-10))), 0)"),0.0)</f>
        <v>0</v>
      </c>
      <c r="N14" s="11"/>
      <c r="O14" s="11"/>
    </row>
    <row r="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ht="15.75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</row>
    <row r="17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ht="15.7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</row>
    <row r="19" ht="15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ht="15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ht="15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</row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orientation="landscape"/>
  <drawing r:id="rId1"/>
</worksheet>
</file>