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16\Fall 2015\Week 9\"/>
    </mc:Choice>
  </mc:AlternateContent>
  <bookViews>
    <workbookView xWindow="0" yWindow="120" windowWidth="19155" windowHeight="11820" activeTab="3"/>
  </bookViews>
  <sheets>
    <sheet name="Sheet4" sheetId="4" r:id="rId1"/>
    <sheet name="Analysis of Residuals" sheetId="5" r:id="rId2"/>
    <sheet name="Data and Regression 1" sheetId="1" r:id="rId3"/>
    <sheet name="Data and Regression 2" sheetId="2" r:id="rId4"/>
    <sheet name="Sheet3" sheetId="3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W51" i="1"/>
  <c r="W50" i="1"/>
  <c r="W49" i="1"/>
  <c r="W48" i="1"/>
  <c r="W47" i="1"/>
  <c r="Q10" i="5"/>
  <c r="P10" i="5"/>
  <c r="Q9" i="5"/>
  <c r="P9" i="5"/>
  <c r="Q8" i="5"/>
  <c r="P8" i="5"/>
  <c r="Q7" i="5"/>
  <c r="P7" i="5"/>
  <c r="Q6" i="5"/>
  <c r="P6" i="5"/>
  <c r="Q5" i="5"/>
  <c r="P5" i="5"/>
  <c r="J10" i="5"/>
  <c r="J9" i="5"/>
  <c r="J8" i="5"/>
  <c r="J7" i="5"/>
  <c r="J6" i="5"/>
  <c r="J5" i="5"/>
  <c r="O9" i="5"/>
  <c r="O5" i="5"/>
  <c r="F9" i="5"/>
  <c r="F5" i="5"/>
  <c r="T48" i="1"/>
  <c r="O8" i="5"/>
  <c r="F8" i="5"/>
  <c r="O7" i="5"/>
  <c r="F7" i="5"/>
  <c r="T51" i="1"/>
  <c r="U49" i="1"/>
  <c r="T50" i="1"/>
  <c r="O10" i="5"/>
  <c r="O6" i="5"/>
  <c r="F10" i="5"/>
  <c r="F6" i="5"/>
  <c r="T52" i="1"/>
  <c r="T47" i="1"/>
  <c r="T49" i="1"/>
  <c r="U47" i="1"/>
  <c r="U50" i="1"/>
  <c r="U48" i="1"/>
  <c r="U52" i="1"/>
  <c r="U51" i="1"/>
  <c r="H5" i="5"/>
  <c r="H6" i="5"/>
  <c r="H7" i="5"/>
  <c r="H10" i="5"/>
  <c r="H8" i="5"/>
  <c r="H9" i="5"/>
</calcChain>
</file>

<file path=xl/sharedStrings.xml><?xml version="1.0" encoding="utf-8"?>
<sst xmlns="http://schemas.openxmlformats.org/spreadsheetml/2006/main" count="130" uniqueCount="67">
  <si>
    <t>#</t>
  </si>
  <si>
    <t>Age</t>
  </si>
  <si>
    <t>Time(min)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</si>
  <si>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</si>
  <si>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</si>
  <si>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</si>
  <si>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</si>
  <si>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</si>
  <si>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</si>
  <si>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</si>
  <si>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</si>
  <si>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</si>
  <si>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</si>
  <si>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</si>
  <si>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</si>
  <si>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</si>
  <si>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</si>
  <si>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</si>
  <si>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</si>
  <si>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</si>
  <si>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</si>
  <si>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</si>
  <si>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</si>
  <si>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</si>
  <si>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</si>
  <si>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</si>
  <si>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</si>
  <si>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RESIDUAL OUTPUT</t>
  </si>
  <si>
    <t>Observation</t>
  </si>
  <si>
    <t>Predicted Time(min)</t>
  </si>
  <si>
    <t>Residuals</t>
  </si>
  <si>
    <t>Actual Time</t>
  </si>
  <si>
    <t>Row Labels</t>
  </si>
  <si>
    <t>Grand Total</t>
  </si>
  <si>
    <t>Average of Residuals</t>
  </si>
  <si>
    <t>10-19</t>
  </si>
  <si>
    <t>20-29</t>
  </si>
  <si>
    <t>30-39</t>
  </si>
  <si>
    <t>40-49</t>
  </si>
  <si>
    <t>50-59</t>
  </si>
  <si>
    <t>60-69</t>
  </si>
  <si>
    <t>Values</t>
  </si>
  <si>
    <t>StdDev of Residuals</t>
  </si>
  <si>
    <t>Count of Residuals</t>
  </si>
  <si>
    <t>Std Error</t>
  </si>
  <si>
    <t>Test Stat</t>
  </si>
  <si>
    <t>Crit Value</t>
  </si>
  <si>
    <t>Reject?</t>
  </si>
  <si>
    <t>yes</t>
  </si>
  <si>
    <t>NO</t>
  </si>
  <si>
    <t>Yes</t>
  </si>
  <si>
    <t>No</t>
  </si>
  <si>
    <t>x</t>
  </si>
  <si>
    <t>Null Hypothesis:  Average of residuals = 0</t>
  </si>
  <si>
    <t>Pivot Table</t>
  </si>
  <si>
    <t>Null Hypothesis:  Standard Deviation = 50.08</t>
  </si>
  <si>
    <t>Two-Tailed T-test</t>
  </si>
  <si>
    <t>Lower CV</t>
  </si>
  <si>
    <t>Upper CV</t>
  </si>
  <si>
    <t>YES</t>
  </si>
  <si>
    <t>X</t>
  </si>
  <si>
    <t>Two-Tailed Chi-Square Test for Variance</t>
  </si>
  <si>
    <t>Age-Squared</t>
  </si>
  <si>
    <t xml:space="preserve"> std error</t>
  </si>
  <si>
    <t>critical value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</si>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</sst>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2" borderId="1" xfId="0" applyFont="1" applyFill="1" applyBorder="1"/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0" fillId="2" borderId="1" xfId="0" applyFill="1" applyBorder="1"/>
    <xf numFmtId="0" fontId="4" fillId="0" borderId="0" xfId="0" applyFont="1" applyFill="1" applyAlignment="1">
      <alignment horizontal="left"/>
    </xf>
    <xf numFmtId="0" fontId="4" fillId="0" borderId="0" xfId="0" applyNumberFormat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font>
        <sz val="20"/>
      </font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jones" refreshedDate="41200.531529745371" createdVersion="3" refreshedVersion="3" minRefreshableVersion="3" recordCount="100">
  <cacheSource type="worksheet">
    <worksheetSource ref="F29:J129" sheet="Data and Regression 1"/>
  </cacheSource>
  <cacheFields count="5">
    <cacheField name="Observation" numFmtId="0">
      <sharedItems containsSemiMixedTypes="0" containsString="0" containsNumber="1" containsInteger="1" minValue="1" maxValue="100"/>
    </cacheField>
    <cacheField name="Predicted Time(min)" numFmtId="0">
      <sharedItems containsSemiMixedTypes="0" containsString="0" containsNumber="1" minValue="226.37746852298804" maxValue="232.60426813883046"/>
    </cacheField>
    <cacheField name="Residuals" numFmtId="0">
      <sharedItems containsSemiMixedTypes="0" containsString="0" containsNumber="1" minValue="-90.12148191302029" maxValue="128.62253147701196"/>
    </cacheField>
    <cacheField name="Actual Time" numFmtId="0">
      <sharedItems containsSemiMixedTypes="0" containsString="0" containsNumber="1" containsInteger="1" minValue="139" maxValue="355"/>
    </cacheField>
    <cacheField name="Age" numFmtId="0">
      <sharedItems containsSemiMixedTypes="0" containsString="0" containsNumber="1" containsInteger="1" minValue="10" maxValue="69" count="48">
        <n v="37"/>
        <n v="40"/>
        <n v="58"/>
        <n v="16"/>
        <n v="68"/>
        <n v="52"/>
        <n v="23"/>
        <n v="48"/>
        <n v="59"/>
        <n v="53"/>
        <n v="66"/>
        <n v="43"/>
        <n v="15"/>
        <n v="24"/>
        <n v="54"/>
        <n v="65"/>
        <n v="36"/>
        <n v="44"/>
        <n v="17"/>
        <n v="35"/>
        <n v="21"/>
        <n v="34"/>
        <n v="20"/>
        <n v="13"/>
        <n v="45"/>
        <n v="69"/>
        <n v="14"/>
        <n v="26"/>
        <n v="56"/>
        <n v="64"/>
        <n v="33"/>
        <n v="60"/>
        <n v="18"/>
        <n v="57"/>
        <n v="41"/>
        <n v="11"/>
        <n v="51"/>
        <n v="19"/>
        <n v="49"/>
        <n v="63"/>
        <n v="62"/>
        <n v="22"/>
        <n v="25"/>
        <n v="61"/>
        <n v="42"/>
        <n v="30"/>
        <n v="39"/>
        <n v="10"/>
      </sharedItems>
      <fieldGroup base="4">
        <rangePr startNum="10" endNum="69" groupInterval="10"/>
        <groupItems count="8">
          <s v="&lt;10"/>
          <s v="10-19"/>
          <s v="20-29"/>
          <s v="30-39"/>
          <s v="40-49"/>
          <s v="50-59"/>
          <s v="60-69"/>
          <s v="&gt;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n v="229.75471577225852"/>
    <n v="-34.754715772258521"/>
    <n v="195"/>
    <x v="0"/>
  </r>
  <r>
    <n v="2"/>
    <n v="229.43809884263942"/>
    <n v="-59.43809884263942"/>
    <n v="170"/>
    <x v="1"/>
  </r>
  <r>
    <n v="3"/>
    <n v="227.53839726492478"/>
    <n v="14.461602735075218"/>
    <n v="242"/>
    <x v="2"/>
  </r>
  <r>
    <n v="4"/>
    <n v="231.97103427959226"/>
    <n v="59.02896572040774"/>
    <n v="291"/>
    <x v="3"/>
  </r>
  <r>
    <n v="5"/>
    <n v="226.48300749952776"/>
    <n v="121.51699250047224"/>
    <n v="348"/>
    <x v="4"/>
  </r>
  <r>
    <n v="6"/>
    <n v="228.17163112416299"/>
    <n v="-30.171631124162985"/>
    <n v="198"/>
    <x v="5"/>
  </r>
  <r>
    <n v="7"/>
    <n v="231.23226144381434"/>
    <n v="-31.232261443814338"/>
    <n v="200"/>
    <x v="6"/>
  </r>
  <r>
    <n v="8"/>
    <n v="231.97103427959226"/>
    <n v="54.02896572040774"/>
    <n v="286"/>
    <x v="3"/>
  </r>
  <r>
    <n v="9"/>
    <n v="228.59378703032178"/>
    <n v="-30.593787030321778"/>
    <n v="198"/>
    <x v="7"/>
  </r>
  <r>
    <n v="10"/>
    <n v="227.43285828838506"/>
    <n v="-10.432858288385063"/>
    <n v="217"/>
    <x v="8"/>
  </r>
  <r>
    <n v="11"/>
    <n v="228.06609214762329"/>
    <n v="-18.066092147623294"/>
    <n v="210"/>
    <x v="9"/>
  </r>
  <r>
    <n v="12"/>
    <n v="226.69408545260717"/>
    <n v="65.305914547392831"/>
    <n v="292"/>
    <x v="10"/>
  </r>
  <r>
    <n v="13"/>
    <n v="229.12148191302029"/>
    <n v="-53.12148191302029"/>
    <n v="176"/>
    <x v="11"/>
  </r>
  <r>
    <n v="14"/>
    <n v="232.07657325613195"/>
    <n v="92.923426743868049"/>
    <n v="325"/>
    <x v="12"/>
  </r>
  <r>
    <n v="15"/>
    <n v="231.12672246727465"/>
    <n v="-26.126722467274647"/>
    <n v="205"/>
    <x v="13"/>
  </r>
  <r>
    <n v="16"/>
    <n v="228.59378703032178"/>
    <n v="-36.593787030321778"/>
    <n v="192"/>
    <x v="7"/>
  </r>
  <r>
    <n v="17"/>
    <n v="227.96055317108357"/>
    <n v="-22.960553171083575"/>
    <n v="205"/>
    <x v="14"/>
  </r>
  <r>
    <n v="18"/>
    <n v="227.43285828838506"/>
    <n v="-9.4328582883850629"/>
    <n v="218"/>
    <x v="8"/>
  </r>
  <r>
    <n v="19"/>
    <n v="227.43285828838506"/>
    <n v="-3.4328582883850629"/>
    <n v="224"/>
    <x v="8"/>
  </r>
  <r>
    <n v="20"/>
    <n v="229.43809884263942"/>
    <n v="-80.43809884263942"/>
    <n v="149"/>
    <x v="1"/>
  </r>
  <r>
    <n v="21"/>
    <n v="226.79962442914686"/>
    <n v="47.20037557085314"/>
    <n v="274"/>
    <x v="15"/>
  </r>
  <r>
    <n v="22"/>
    <n v="228.59378703032178"/>
    <n v="-23.593787030321778"/>
    <n v="205"/>
    <x v="7"/>
  </r>
  <r>
    <n v="23"/>
    <n v="229.86025474879821"/>
    <n v="-72.860254748798212"/>
    <n v="157"/>
    <x v="16"/>
  </r>
  <r>
    <n v="24"/>
    <n v="228.06609214762329"/>
    <n v="-45.066092147623294"/>
    <n v="183"/>
    <x v="9"/>
  </r>
  <r>
    <n v="25"/>
    <n v="226.48300749952776"/>
    <n v="110.51699250047224"/>
    <n v="337"/>
    <x v="4"/>
  </r>
  <r>
    <n v="26"/>
    <n v="229.0159429364806"/>
    <n v="-48.015942936480599"/>
    <n v="181"/>
    <x v="17"/>
  </r>
  <r>
    <n v="27"/>
    <n v="227.96055317108357"/>
    <n v="-40.960553171083575"/>
    <n v="187"/>
    <x v="14"/>
  </r>
  <r>
    <n v="28"/>
    <n v="231.86549530305254"/>
    <n v="6.1345046969474595"/>
    <n v="238"/>
    <x v="18"/>
  </r>
  <r>
    <n v="29"/>
    <n v="229.9657937253379"/>
    <n v="-68.965793725337903"/>
    <n v="161"/>
    <x v="19"/>
  </r>
  <r>
    <n v="30"/>
    <n v="231.44333939689375"/>
    <n v="20.556660603106252"/>
    <n v="252"/>
    <x v="20"/>
  </r>
  <r>
    <n v="31"/>
    <n v="230.07133270187762"/>
    <n v="-36.071332701877623"/>
    <n v="194"/>
    <x v="21"/>
  </r>
  <r>
    <n v="32"/>
    <n v="227.53839726492478"/>
    <n v="45.461602735075218"/>
    <n v="273"/>
    <x v="2"/>
  </r>
  <r>
    <n v="33"/>
    <n v="231.54887837343344"/>
    <n v="71.451121626566561"/>
    <n v="303"/>
    <x v="22"/>
  </r>
  <r>
    <n v="34"/>
    <n v="232.28765120921136"/>
    <n v="81.712348790788639"/>
    <n v="314"/>
    <x v="23"/>
  </r>
  <r>
    <n v="35"/>
    <n v="228.91040395994091"/>
    <n v="-60.910403959940908"/>
    <n v="168"/>
    <x v="24"/>
  </r>
  <r>
    <n v="36"/>
    <n v="228.17163112416299"/>
    <n v="-69.171631124162985"/>
    <n v="159"/>
    <x v="5"/>
  </r>
  <r>
    <n v="37"/>
    <n v="226.37746852298804"/>
    <n v="128.62253147701196"/>
    <n v="355"/>
    <x v="25"/>
  </r>
  <r>
    <n v="38"/>
    <n v="232.18211223267167"/>
    <n v="74.81788776732833"/>
    <n v="307"/>
    <x v="26"/>
  </r>
  <r>
    <n v="39"/>
    <n v="232.18211223267167"/>
    <n v="64.81788776732833"/>
    <n v="297"/>
    <x v="26"/>
  </r>
  <r>
    <n v="40"/>
    <n v="230.91564451419524"/>
    <n v="-18.915644514195236"/>
    <n v="212"/>
    <x v="27"/>
  </r>
  <r>
    <n v="41"/>
    <n v="228.17163112416299"/>
    <n v="4.8283688758370147"/>
    <n v="233"/>
    <x v="5"/>
  </r>
  <r>
    <n v="42"/>
    <n v="228.06609214762329"/>
    <n v="-21.066092147623294"/>
    <n v="207"/>
    <x v="9"/>
  </r>
  <r>
    <n v="43"/>
    <n v="227.74947521800416"/>
    <n v="-34.749475218004164"/>
    <n v="193"/>
    <x v="28"/>
  </r>
  <r>
    <n v="44"/>
    <n v="230.91564451419524"/>
    <n v="-5.9156445141952361"/>
    <n v="225"/>
    <x v="27"/>
  </r>
  <r>
    <n v="45"/>
    <n v="231.23226144381434"/>
    <n v="31.767738556185662"/>
    <n v="263"/>
    <x v="6"/>
  </r>
  <r>
    <n v="46"/>
    <n v="231.23226144381434"/>
    <n v="36.767738556185662"/>
    <n v="268"/>
    <x v="6"/>
  </r>
  <r>
    <n v="47"/>
    <n v="231.23226144381434"/>
    <n v="22.767738556185662"/>
    <n v="254"/>
    <x v="6"/>
  </r>
  <r>
    <n v="48"/>
    <n v="226.79962442914686"/>
    <n v="58.20037557085314"/>
    <n v="285"/>
    <x v="15"/>
  </r>
  <r>
    <n v="49"/>
    <n v="226.90516340568655"/>
    <n v="56.094836594313449"/>
    <n v="283"/>
    <x v="29"/>
  </r>
  <r>
    <n v="50"/>
    <n v="228.59378703032178"/>
    <n v="-56.593787030321778"/>
    <n v="172"/>
    <x v="7"/>
  </r>
  <r>
    <n v="51"/>
    <n v="230.17687167841731"/>
    <n v="-23.176871678417314"/>
    <n v="207"/>
    <x v="30"/>
  </r>
  <r>
    <n v="52"/>
    <n v="227.32731931184537"/>
    <n v="41.672680688154628"/>
    <n v="269"/>
    <x v="31"/>
  </r>
  <r>
    <n v="53"/>
    <n v="231.75995632651285"/>
    <n v="1.2400436734871505"/>
    <n v="233"/>
    <x v="32"/>
  </r>
  <r>
    <n v="54"/>
    <n v="232.18211223267167"/>
    <n v="22.81788776732833"/>
    <n v="255"/>
    <x v="26"/>
  </r>
  <r>
    <n v="55"/>
    <n v="227.64393624146447"/>
    <n v="-19.643936241464473"/>
    <n v="208"/>
    <x v="33"/>
  </r>
  <r>
    <n v="56"/>
    <n v="229.3325598660997"/>
    <n v="-33.3325598660997"/>
    <n v="196"/>
    <x v="34"/>
  </r>
  <r>
    <n v="57"/>
    <n v="231.54887837343344"/>
    <n v="20.451121626566561"/>
    <n v="252"/>
    <x v="22"/>
  </r>
  <r>
    <n v="58"/>
    <n v="229.9657937253379"/>
    <n v="-61.965793725337903"/>
    <n v="168"/>
    <x v="19"/>
  </r>
  <r>
    <n v="59"/>
    <n v="229.3325598660997"/>
    <n v="-75.3325598660997"/>
    <n v="154"/>
    <x v="34"/>
  </r>
  <r>
    <n v="60"/>
    <n v="231.86549530305254"/>
    <n v="2.1345046969474595"/>
    <n v="234"/>
    <x v="18"/>
  </r>
  <r>
    <n v="61"/>
    <n v="226.79962442914686"/>
    <n v="59.20037557085314"/>
    <n v="286"/>
    <x v="15"/>
  </r>
  <r>
    <n v="62"/>
    <n v="232.49872916229077"/>
    <n v="89.501270837709228"/>
    <n v="322"/>
    <x v="35"/>
  </r>
  <r>
    <n v="63"/>
    <n v="228.27717010070268"/>
    <n v="-29.277170100702676"/>
    <n v="199"/>
    <x v="36"/>
  </r>
  <r>
    <n v="64"/>
    <n v="229.86025474879821"/>
    <n v="-71.860254748798212"/>
    <n v="158"/>
    <x v="16"/>
  </r>
  <r>
    <n v="65"/>
    <n v="231.65441734997316"/>
    <n v="-13.654417349973158"/>
    <n v="218"/>
    <x v="37"/>
  </r>
  <r>
    <n v="66"/>
    <n v="228.48824805378209"/>
    <n v="14.511751946217913"/>
    <n v="243"/>
    <x v="38"/>
  </r>
  <r>
    <n v="67"/>
    <n v="227.01070238222627"/>
    <n v="43.98929761777373"/>
    <n v="271"/>
    <x v="39"/>
  </r>
  <r>
    <n v="68"/>
    <n v="227.11624135876596"/>
    <n v="36.883758641234039"/>
    <n v="264"/>
    <x v="40"/>
  </r>
  <r>
    <n v="69"/>
    <n v="231.33780042035403"/>
    <n v="-54.337800420354029"/>
    <n v="177"/>
    <x v="41"/>
  </r>
  <r>
    <n v="70"/>
    <n v="227.96055317108357"/>
    <n v="-24.960553171083575"/>
    <n v="203"/>
    <x v="14"/>
  </r>
  <r>
    <n v="71"/>
    <n v="226.48300749952776"/>
    <n v="77.516992500472242"/>
    <n v="304"/>
    <x v="4"/>
  </r>
  <r>
    <n v="72"/>
    <n v="227.32731931184537"/>
    <n v="10.672680688154628"/>
    <n v="238"/>
    <x v="31"/>
  </r>
  <r>
    <n v="73"/>
    <n v="231.54887837343344"/>
    <n v="39.451121626566561"/>
    <n v="271"/>
    <x v="22"/>
  </r>
  <r>
    <n v="74"/>
    <n v="232.07657325613195"/>
    <n v="21.923426743868049"/>
    <n v="254"/>
    <x v="12"/>
  </r>
  <r>
    <n v="75"/>
    <n v="227.64393624146447"/>
    <n v="6.3560637585355266"/>
    <n v="234"/>
    <x v="33"/>
  </r>
  <r>
    <n v="76"/>
    <n v="229.75471577225852"/>
    <n v="-9.7547157722585212"/>
    <n v="220"/>
    <x v="0"/>
  </r>
  <r>
    <n v="77"/>
    <n v="228.27717010070268"/>
    <n v="-53.277170100702676"/>
    <n v="175"/>
    <x v="36"/>
  </r>
  <r>
    <n v="78"/>
    <n v="229.9657937253379"/>
    <n v="-64.965793725337903"/>
    <n v="165"/>
    <x v="19"/>
  </r>
  <r>
    <n v="79"/>
    <n v="230.17687167841731"/>
    <n v="-11.176871678417314"/>
    <n v="219"/>
    <x v="30"/>
  </r>
  <r>
    <n v="80"/>
    <n v="229.43809884263942"/>
    <n v="-17.43809884263942"/>
    <n v="212"/>
    <x v="1"/>
  </r>
  <r>
    <n v="81"/>
    <n v="231.54887837343344"/>
    <n v="28.451121626566561"/>
    <n v="260"/>
    <x v="22"/>
  </r>
  <r>
    <n v="82"/>
    <n v="231.02118349073493"/>
    <n v="-71.021183490734927"/>
    <n v="160"/>
    <x v="42"/>
  </r>
  <r>
    <n v="83"/>
    <n v="229.12148191302029"/>
    <n v="-36.12148191302029"/>
    <n v="193"/>
    <x v="11"/>
  </r>
  <r>
    <n v="84"/>
    <n v="228.59378703032178"/>
    <n v="-65.593787030321778"/>
    <n v="163"/>
    <x v="7"/>
  </r>
  <r>
    <n v="85"/>
    <n v="227.22178033530565"/>
    <n v="48.778219664694348"/>
    <n v="276"/>
    <x v="43"/>
  </r>
  <r>
    <n v="86"/>
    <n v="226.48300749952776"/>
    <n v="61.516992500472242"/>
    <n v="288"/>
    <x v="4"/>
  </r>
  <r>
    <n v="87"/>
    <n v="231.97103427959226"/>
    <n v="30.02896572040774"/>
    <n v="262"/>
    <x v="3"/>
  </r>
  <r>
    <n v="88"/>
    <n v="229.0159429364806"/>
    <n v="-34.015942936480599"/>
    <n v="195"/>
    <x v="17"/>
  </r>
  <r>
    <n v="89"/>
    <n v="231.12672246727465"/>
    <n v="-6.1267224672746465"/>
    <n v="225"/>
    <x v="13"/>
  </r>
  <r>
    <n v="90"/>
    <n v="227.74947521800416"/>
    <n v="1.2505247819958356"/>
    <n v="229"/>
    <x v="28"/>
  </r>
  <r>
    <n v="91"/>
    <n v="229.9657937253379"/>
    <n v="-35.965793725337903"/>
    <n v="194"/>
    <x v="19"/>
  </r>
  <r>
    <n v="92"/>
    <n v="229.22702088956001"/>
    <n v="-19.227020889560009"/>
    <n v="210"/>
    <x v="44"/>
  </r>
  <r>
    <n v="93"/>
    <n v="230.49348860803642"/>
    <n v="-25.493488608036415"/>
    <n v="205"/>
    <x v="45"/>
  </r>
  <r>
    <n v="94"/>
    <n v="227.53839726492478"/>
    <n v="-25.538397264924782"/>
    <n v="202"/>
    <x v="2"/>
  </r>
  <r>
    <n v="95"/>
    <n v="228.17163112416299"/>
    <n v="-0.17163112416298532"/>
    <n v="228"/>
    <x v="5"/>
  </r>
  <r>
    <n v="96"/>
    <n v="229.54363781917911"/>
    <n v="-48.543637819179111"/>
    <n v="181"/>
    <x v="46"/>
  </r>
  <r>
    <n v="97"/>
    <n v="229.12148191302029"/>
    <n v="-90.12148191302029"/>
    <n v="139"/>
    <x v="11"/>
  </r>
  <r>
    <n v="98"/>
    <n v="231.86549530305254"/>
    <n v="30.134504696947459"/>
    <n v="262"/>
    <x v="18"/>
  </r>
  <r>
    <n v="99"/>
    <n v="227.11624135876596"/>
    <n v="21.883758641234039"/>
    <n v="249"/>
    <x v="40"/>
  </r>
  <r>
    <n v="100"/>
    <n v="232.60426813883046"/>
    <n v="92.395731861169537"/>
    <n v="325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1" firstHeaderRow="1" firstDataRow="2" firstDataCol="1"/>
  <pivotFields count="5"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siduals" fld="2" subtotal="average" baseField="0" baseItem="0"/>
    <dataField name="StdDev of Residuals" fld="2" subtotal="stdDev" baseField="0" baseItem="0"/>
    <dataField name="Count of Residuals" fld="2" subtotal="count" baseField="0" baseItem="0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O45:R53" firstHeaderRow="1" firstDataRow="2" firstDataCol="1"/>
  <pivotFields count="5"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siduals" fld="2" subtotal="average" baseField="0" baseItem="0"/>
    <dataField name="StdDev of Residuals" fld="2" subtotal="stdDev" baseField="0" baseItem="0"/>
    <dataField name="Count of Residuals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A17" sqref="A17"/>
    </sheetView>
  </sheetViews>
  <sheetFormatPr defaultRowHeight="15" x14ac:dyDescent="0.25"/>
  <cols>
    <col min="1" max="1" width="20" customWidth="1"/>
    <col min="2" max="2" width="26.7109375" customWidth="1"/>
    <col min="3" max="3" width="18.7109375" bestFit="1" customWidth="1"/>
    <col min="4" max="4" width="17.7109375" bestFit="1" customWidth="1"/>
    <col min="6" max="6" width="12.140625" customWidth="1"/>
    <col min="10" max="10" width="11.28515625" customWidth="1"/>
    <col min="12" max="12" width="12.42578125" customWidth="1"/>
    <col min="16" max="16" width="17" customWidth="1"/>
    <col min="17" max="17" width="12" customWidth="1"/>
    <col min="19" max="19" width="13.5703125" customWidth="1"/>
  </cols>
  <sheetData>
    <row r="1" spans="1:22" ht="26.25" x14ac:dyDescent="0.4">
      <c r="A1" s="17" t="s">
        <v>54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</row>
    <row r="2" spans="1:22" ht="26.25" x14ac:dyDescent="0.4">
      <c r="A2" s="10"/>
      <c r="B2" s="10"/>
      <c r="C2" s="10"/>
      <c r="D2" s="10"/>
      <c r="E2" s="11"/>
      <c r="F2" s="9" t="s">
        <v>56</v>
      </c>
      <c r="G2" s="10"/>
      <c r="H2" s="10"/>
      <c r="I2" s="10"/>
      <c r="J2" s="10"/>
      <c r="K2" s="10"/>
      <c r="L2" s="10"/>
      <c r="M2" s="10"/>
      <c r="O2" s="9" t="s">
        <v>61</v>
      </c>
      <c r="P2" s="8"/>
      <c r="Q2" s="8"/>
      <c r="R2" s="8"/>
      <c r="S2" s="8"/>
      <c r="T2" s="8"/>
      <c r="U2" s="8"/>
    </row>
    <row r="3" spans="1:22" ht="26.25" x14ac:dyDescent="0.4">
      <c r="A3" s="10"/>
      <c r="B3" s="10" t="s">
        <v>41</v>
      </c>
      <c r="C3" s="10"/>
      <c r="D3" s="10"/>
      <c r="E3" s="11"/>
      <c r="F3" s="17" t="s">
        <v>53</v>
      </c>
      <c r="G3" s="17"/>
      <c r="H3" s="17"/>
      <c r="I3" s="17"/>
      <c r="J3" s="17"/>
      <c r="K3" s="22"/>
      <c r="L3" s="22"/>
      <c r="M3" s="22"/>
      <c r="N3" s="21"/>
      <c r="O3" s="17" t="s">
        <v>55</v>
      </c>
      <c r="P3" s="27"/>
      <c r="Q3" s="27"/>
      <c r="R3" s="27"/>
      <c r="S3" s="27"/>
      <c r="T3" s="27"/>
      <c r="U3" s="27"/>
      <c r="V3" s="20"/>
    </row>
    <row r="4" spans="1:22" ht="52.5" x14ac:dyDescent="0.4">
      <c r="A4" s="14" t="s">
        <v>32</v>
      </c>
      <c r="B4" s="14" t="s">
        <v>34</v>
      </c>
      <c r="C4" s="14" t="s">
        <v>42</v>
      </c>
      <c r="D4" s="14" t="s">
        <v>43</v>
      </c>
      <c r="E4" s="15"/>
      <c r="F4" s="23" t="s">
        <v>44</v>
      </c>
      <c r="G4" s="23"/>
      <c r="H4" s="23" t="s">
        <v>45</v>
      </c>
      <c r="I4" s="23"/>
      <c r="J4" s="23" t="s">
        <v>46</v>
      </c>
      <c r="K4" s="23"/>
      <c r="L4" s="23" t="s">
        <v>47</v>
      </c>
      <c r="M4" s="24"/>
      <c r="O4" s="16" t="s">
        <v>45</v>
      </c>
      <c r="P4" s="16" t="s">
        <v>57</v>
      </c>
      <c r="Q4" s="16" t="s">
        <v>58</v>
      </c>
      <c r="R4" s="16"/>
      <c r="S4" s="16" t="s">
        <v>47</v>
      </c>
      <c r="T4" s="18"/>
      <c r="U4" s="2"/>
    </row>
    <row r="5" spans="1:22" ht="26.25" x14ac:dyDescent="0.4">
      <c r="A5" s="28" t="s">
        <v>35</v>
      </c>
      <c r="B5" s="29">
        <v>44.374119115935514</v>
      </c>
      <c r="C5" s="29">
        <v>36.146030198271148</v>
      </c>
      <c r="D5" s="29">
        <v>16</v>
      </c>
      <c r="E5" s="11"/>
      <c r="F5" s="25">
        <f>GETPIVOTDATA("StdDev of Residuals",$A$3,"Age",10)/SQRT(GETPIVOTDATA("Count of Residuals",$A$3,"Age",10))</f>
        <v>9.0365075495677871</v>
      </c>
      <c r="G5" s="25"/>
      <c r="H5" s="25">
        <f>0-GETPIVOTDATA("Average of Residuals",$A$3,"Age",10)/F5</f>
        <v>-4.9105385982948588</v>
      </c>
      <c r="I5" s="25"/>
      <c r="J5" s="25">
        <f>TINV(0.01,15)</f>
        <v>2.9467128834752381</v>
      </c>
      <c r="K5" s="25"/>
      <c r="L5" s="26" t="s">
        <v>48</v>
      </c>
      <c r="M5" s="26" t="s">
        <v>52</v>
      </c>
      <c r="O5" s="19">
        <f>15*GETPIVOTDATA("StdDev of Residuals",$A$3,"Age",10)^2/GETPIVOTDATA("StdDev of Residuals",$A$3)^2</f>
        <v>7.81283007989704</v>
      </c>
      <c r="P5" s="19">
        <f>CHIINV(0.975,15)</f>
        <v>6.26213779504325</v>
      </c>
      <c r="Q5" s="19">
        <f>CHIINV(0.0255,15)</f>
        <v>27.419300700357134</v>
      </c>
      <c r="R5" s="19"/>
      <c r="S5" s="12" t="s">
        <v>49</v>
      </c>
      <c r="T5" s="19"/>
      <c r="U5" s="2"/>
    </row>
    <row r="6" spans="1:22" ht="26.25" x14ac:dyDescent="0.4">
      <c r="A6" s="28" t="s">
        <v>36</v>
      </c>
      <c r="B6" s="29">
        <v>3.8658922306724284</v>
      </c>
      <c r="C6" s="29">
        <v>38.77793158093543</v>
      </c>
      <c r="D6" s="29">
        <v>15</v>
      </c>
      <c r="E6" s="11"/>
      <c r="F6" s="25">
        <f>GETPIVOTDATA("StdDev of Residuals",$A$3,"Age",20)/SQRT(15)</f>
        <v>10.012418880888903</v>
      </c>
      <c r="G6" s="25"/>
      <c r="H6" s="25">
        <f>0-GETPIVOTDATA("Average of Residuals",$A$3,"Age",20)/F6</f>
        <v>-0.38610971800744459</v>
      </c>
      <c r="I6" s="25"/>
      <c r="J6" s="25">
        <f>TINV(0.01,14)</f>
        <v>2.9768427343708348</v>
      </c>
      <c r="K6" s="25"/>
      <c r="L6" s="26" t="s">
        <v>51</v>
      </c>
      <c r="M6" s="26"/>
      <c r="O6" s="19">
        <f>14*GETPIVOTDATA("StdDev of Residuals",$A$3,"Age",20)^2/GETPIVOTDATA("StdDev of Residuals",$A$3)^2</f>
        <v>8.3925361680947326</v>
      </c>
      <c r="P6" s="19">
        <f>CHIINV(0.975,14)</f>
        <v>5.6287261030397318</v>
      </c>
      <c r="Q6" s="19">
        <f>CHIINV(0.025,14)</f>
        <v>26.118948045037371</v>
      </c>
      <c r="R6" s="19"/>
      <c r="S6" s="12" t="s">
        <v>49</v>
      </c>
      <c r="T6" s="19"/>
      <c r="U6" s="2"/>
    </row>
    <row r="7" spans="1:22" ht="26.25" x14ac:dyDescent="0.4">
      <c r="A7" s="28" t="s">
        <v>37</v>
      </c>
      <c r="B7" s="29">
        <v>-43.50425526379945</v>
      </c>
      <c r="C7" s="29">
        <v>22.824075978453958</v>
      </c>
      <c r="D7" s="29">
        <v>13</v>
      </c>
      <c r="E7" s="11"/>
      <c r="F7" s="25">
        <f>GETPIVOTDATA("StdDev of Residuals",$A$3,"Age",30)/SQRT(13)</f>
        <v>6.3302597119539747</v>
      </c>
      <c r="G7" s="25"/>
      <c r="H7" s="25">
        <f>-GETPIVOTDATA("Average of Residuals",$A$3,"Age",30)/F7</f>
        <v>6.8724281851574931</v>
      </c>
      <c r="I7" s="25"/>
      <c r="J7" s="25">
        <f>TINV(0.01,12)</f>
        <v>3.0545395893929017</v>
      </c>
      <c r="K7" s="25"/>
      <c r="L7" s="26" t="s">
        <v>50</v>
      </c>
      <c r="M7" s="26" t="s">
        <v>52</v>
      </c>
      <c r="O7" s="19">
        <f>12*GETPIVOTDATA("StdDev of Residuals",$A$3,"Age",30)^2/GETPIVOTDATA("StdDev of Residuals",$A$3)^2</f>
        <v>2.4920890706700618</v>
      </c>
      <c r="P7" s="19">
        <f>CHIINV(0.975,12)</f>
        <v>4.4037885069817033</v>
      </c>
      <c r="Q7" s="19">
        <f>CHIINV(0.025,12)</f>
        <v>23.336664158645338</v>
      </c>
      <c r="R7" s="19"/>
      <c r="S7" s="12" t="s">
        <v>59</v>
      </c>
      <c r="T7" s="12" t="s">
        <v>60</v>
      </c>
      <c r="U7" s="2"/>
    </row>
    <row r="8" spans="1:22" ht="26.25" x14ac:dyDescent="0.4">
      <c r="A8" s="28" t="s">
        <v>38</v>
      </c>
      <c r="B8" s="29">
        <v>-44.776130884835084</v>
      </c>
      <c r="C8" s="29">
        <v>25.831732208658611</v>
      </c>
      <c r="D8" s="29">
        <v>18</v>
      </c>
      <c r="E8" s="11"/>
      <c r="F8" s="25">
        <f>GETPIVOTDATA("StdDev of Residuals",$A$3,"Age",40)/SQRT(GETPIVOTDATA("Count of Residuals",$A$3,"Age",50))</f>
        <v>5.5073438115923103</v>
      </c>
      <c r="G8" s="25"/>
      <c r="H8" s="25">
        <f>-GETPIVOTDATA("Average of Residuals",$A$3,"Age",40)/F8</f>
        <v>8.1302588719060171</v>
      </c>
      <c r="I8" s="25"/>
      <c r="J8" s="25">
        <f>TINV(0.01,17)</f>
        <v>2.8982305196774178</v>
      </c>
      <c r="K8" s="25"/>
      <c r="L8" s="26" t="s">
        <v>50</v>
      </c>
      <c r="M8" s="26" t="s">
        <v>52</v>
      </c>
      <c r="O8" s="19">
        <f>17*GETPIVOTDATA("StdDev of Residuals",$A$3,"Age",40)^2/GETPIVOTDATA("StdDev of Residuals",$A$3)^2</f>
        <v>4.5222220865940717</v>
      </c>
      <c r="P8" s="19">
        <f>CHIINV(0.975,17)</f>
        <v>7.5641864495775692</v>
      </c>
      <c r="Q8" s="19">
        <f>CHIINV(0.025,17)</f>
        <v>30.191009121639812</v>
      </c>
      <c r="R8" s="19"/>
      <c r="S8" s="12" t="s">
        <v>59</v>
      </c>
      <c r="T8" s="12" t="s">
        <v>60</v>
      </c>
      <c r="U8" s="2"/>
    </row>
    <row r="9" spans="1:22" ht="26.25" x14ac:dyDescent="0.4">
      <c r="A9" s="28" t="s">
        <v>39</v>
      </c>
      <c r="B9" s="29">
        <v>-17.546426828774766</v>
      </c>
      <c r="C9" s="29">
        <v>24.921671728198351</v>
      </c>
      <c r="D9" s="29">
        <v>22</v>
      </c>
      <c r="E9" s="11"/>
      <c r="F9" s="25">
        <f>GETPIVOTDATA("StdDev of Residuals",$A$3,"Age",50)/SQRT(22)</f>
        <v>5.3133182652312518</v>
      </c>
      <c r="G9" s="25"/>
      <c r="H9" s="25">
        <f>-GETPIVOTDATA("Average of Residuals",$A$3,"Age",50)/F9</f>
        <v>3.3023481660402836</v>
      </c>
      <c r="I9" s="25"/>
      <c r="J9" s="25">
        <f>TINV(0.01,21)</f>
        <v>2.8313595580230499</v>
      </c>
      <c r="K9" s="25"/>
      <c r="L9" s="26" t="s">
        <v>50</v>
      </c>
      <c r="M9" s="26" t="s">
        <v>52</v>
      </c>
      <c r="O9" s="19">
        <f>21*GETPIVOTDATA("StdDev of Residuals",$A$3,"Age",50)^2/GETPIVOTDATA("StdDev of Residuals",$A$3)^2</f>
        <v>5.1995953030238873</v>
      </c>
      <c r="P9" s="19">
        <f>CHIINV(0.975,21)</f>
        <v>10.282897782522859</v>
      </c>
      <c r="Q9" s="19">
        <f>CHIINV(0.025,21)</f>
        <v>35.478875905727257</v>
      </c>
      <c r="R9" s="19"/>
      <c r="S9" s="12" t="s">
        <v>59</v>
      </c>
      <c r="T9" s="12" t="s">
        <v>60</v>
      </c>
      <c r="U9" s="2"/>
    </row>
    <row r="10" spans="1:22" ht="26.25" x14ac:dyDescent="0.4">
      <c r="A10" s="28" t="s">
        <v>40</v>
      </c>
      <c r="B10" s="29">
        <v>61.848298454650759</v>
      </c>
      <c r="C10" s="29">
        <v>33.316173892992673</v>
      </c>
      <c r="D10" s="29">
        <v>16</v>
      </c>
      <c r="E10" s="11"/>
      <c r="F10" s="25">
        <f>GETPIVOTDATA("StdDev of Residuals",$A$3,"Age",60)/SQRT(GETPIVOTDATA("Count of Residuals",$A$3,"Age",60))</f>
        <v>8.3290434732481682</v>
      </c>
      <c r="G10" s="25"/>
      <c r="H10" s="25">
        <f>-GETPIVOTDATA("Average of Residuals",$A$3,"Age",60)/F10</f>
        <v>-7.4256183982350015</v>
      </c>
      <c r="I10" s="25"/>
      <c r="J10" s="25">
        <f>TINV(0.01,15)</f>
        <v>2.9467128834752381</v>
      </c>
      <c r="K10" s="25"/>
      <c r="L10" s="26" t="s">
        <v>50</v>
      </c>
      <c r="M10" s="26" t="s">
        <v>52</v>
      </c>
      <c r="O10" s="19">
        <f>15*GETPIVOTDATA("StdDev of Residuals",$A$3,"Age",60)^2/GETPIVOTDATA("StdDev of Residuals",$A$3)^2</f>
        <v>6.6373910478190492</v>
      </c>
      <c r="P10" s="19">
        <f>CHIINV(0.975,15)</f>
        <v>6.26213779504325</v>
      </c>
      <c r="Q10" s="19">
        <f>CHIINV(0.025,15)</f>
        <v>27.488392863442982</v>
      </c>
      <c r="R10" s="19"/>
      <c r="S10" s="12" t="s">
        <v>49</v>
      </c>
      <c r="T10" s="19"/>
      <c r="U10" s="2"/>
    </row>
    <row r="11" spans="1:22" ht="26.25" x14ac:dyDescent="0.4">
      <c r="A11" s="28" t="s">
        <v>33</v>
      </c>
      <c r="B11" s="29">
        <v>-2.6716406864579765E-14</v>
      </c>
      <c r="C11" s="29">
        <v>50.084350609848272</v>
      </c>
      <c r="D11" s="29">
        <v>100</v>
      </c>
      <c r="E11" s="11"/>
      <c r="F11" s="11"/>
      <c r="G11" s="11"/>
      <c r="H11" s="11"/>
      <c r="I11" s="11"/>
      <c r="J11" s="11"/>
      <c r="K11" s="11"/>
      <c r="L11" s="11"/>
      <c r="M11" s="11"/>
    </row>
    <row r="12" spans="1:22" ht="26.25" x14ac:dyDescent="0.4">
      <c r="A12" s="25"/>
      <c r="B12" s="25"/>
      <c r="C12" s="25"/>
      <c r="D12" s="25"/>
      <c r="E12" s="11"/>
      <c r="F12" s="11"/>
      <c r="G12" s="11"/>
      <c r="H12" s="11"/>
      <c r="I12" s="11"/>
      <c r="J12" s="11"/>
      <c r="K12" s="11"/>
      <c r="L12" s="11"/>
      <c r="M12" s="11"/>
    </row>
    <row r="13" spans="1:22" ht="26.25" x14ac:dyDescent="0.4">
      <c r="A13" s="25"/>
      <c r="B13" s="25"/>
      <c r="C13" s="25"/>
      <c r="D13" s="25"/>
      <c r="E13" s="11"/>
      <c r="F13" s="13"/>
      <c r="G13" s="13"/>
      <c r="H13" s="13"/>
      <c r="I13" s="13"/>
      <c r="J13" s="13"/>
      <c r="K13" s="13"/>
      <c r="L13" s="13"/>
      <c r="M13" s="11"/>
    </row>
    <row r="14" spans="1:22" ht="26.25" x14ac:dyDescent="0.4">
      <c r="A14" s="25"/>
      <c r="B14" s="25"/>
      <c r="C14" s="25"/>
      <c r="D14" s="25"/>
      <c r="E14" s="11"/>
      <c r="F14" s="11"/>
      <c r="G14" s="11"/>
      <c r="H14" s="11"/>
      <c r="I14" s="11"/>
      <c r="J14" s="11"/>
      <c r="K14" s="11"/>
      <c r="L14" s="11"/>
      <c r="M14" s="11"/>
    </row>
    <row r="15" spans="1:22" ht="26.25" x14ac:dyDescent="0.4">
      <c r="A15" s="25"/>
      <c r="B15" s="25"/>
      <c r="C15" s="25"/>
      <c r="D15" s="25"/>
      <c r="E15" s="11"/>
      <c r="F15" s="11"/>
      <c r="G15" s="11"/>
      <c r="H15" s="11"/>
      <c r="I15" s="11"/>
      <c r="J15" s="11"/>
      <c r="K15" s="11"/>
      <c r="L15" s="11"/>
      <c r="M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workbookViewId="0">
      <selection activeCell="W52" sqref="W52"/>
    </sheetView>
  </sheetViews>
  <sheetFormatPr defaultRowHeight="15" x14ac:dyDescent="0.25"/>
  <cols>
    <col min="1" max="1" width="7.5703125" customWidth="1"/>
    <col min="2" max="3" width="14.7109375" customWidth="1"/>
    <col min="6" max="6" width="16.5703125" customWidth="1"/>
    <col min="7" max="7" width="18.42578125" customWidth="1"/>
    <col min="9" max="9" width="15.140625" customWidth="1"/>
    <col min="15" max="15" width="13.140625" customWidth="1"/>
    <col min="16" max="16" width="19.7109375" bestFit="1" customWidth="1"/>
    <col min="17" max="17" width="18.7109375" bestFit="1" customWidth="1"/>
    <col min="18" max="18" width="17.7109375" bestFit="1" customWidth="1"/>
  </cols>
  <sheetData>
    <row r="1" spans="1:11" ht="21" x14ac:dyDescent="0.35">
      <c r="A1" s="1" t="s">
        <v>0</v>
      </c>
      <c r="B1" s="1" t="s">
        <v>1</v>
      </c>
      <c r="C1" s="1" t="s">
        <v>2</v>
      </c>
    </row>
    <row r="2" spans="1:11" x14ac:dyDescent="0.25">
      <c r="A2" s="2">
        <v>1</v>
      </c>
      <c r="B2" s="2">
        <v>37</v>
      </c>
      <c r="C2" s="2">
        <v>195</v>
      </c>
    </row>
    <row r="3" spans="1:11" x14ac:dyDescent="0.25">
      <c r="A3" s="2">
        <v>2</v>
      </c>
      <c r="B3" s="2">
        <v>40</v>
      </c>
      <c r="C3" s="2">
        <v>170</v>
      </c>
    </row>
    <row r="4" spans="1:11" x14ac:dyDescent="0.25">
      <c r="A4" s="2">
        <v>3</v>
      </c>
      <c r="B4" s="2">
        <v>58</v>
      </c>
      <c r="C4" s="2">
        <v>242</v>
      </c>
    </row>
    <row r="5" spans="1:11" x14ac:dyDescent="0.25">
      <c r="A5" s="2">
        <v>4</v>
      </c>
      <c r="B5" s="2">
        <v>16</v>
      </c>
      <c r="C5" s="2">
        <v>291</v>
      </c>
    </row>
    <row r="6" spans="1:11" x14ac:dyDescent="0.25">
      <c r="A6" s="2">
        <v>5</v>
      </c>
      <c r="B6" s="2">
        <v>68</v>
      </c>
      <c r="C6" s="2">
        <v>348</v>
      </c>
      <c r="F6" t="s">
        <v>3</v>
      </c>
    </row>
    <row r="7" spans="1:11" ht="15.75" thickBot="1" x14ac:dyDescent="0.3">
      <c r="A7" s="2">
        <v>6</v>
      </c>
      <c r="B7" s="2">
        <v>52</v>
      </c>
      <c r="C7" s="2">
        <v>198</v>
      </c>
    </row>
    <row r="8" spans="1:11" x14ac:dyDescent="0.25">
      <c r="A8" s="2">
        <v>7</v>
      </c>
      <c r="B8" s="2">
        <v>23</v>
      </c>
      <c r="C8" s="2">
        <v>200</v>
      </c>
      <c r="F8" s="6" t="s">
        <v>4</v>
      </c>
      <c r="G8" s="6"/>
    </row>
    <row r="9" spans="1:11" x14ac:dyDescent="0.25">
      <c r="A9" s="2">
        <v>8</v>
      </c>
      <c r="B9" s="2">
        <v>16</v>
      </c>
      <c r="C9" s="2">
        <v>286</v>
      </c>
      <c r="F9" s="3" t="s">
        <v>5</v>
      </c>
      <c r="G9" s="3">
        <v>3.6827395992925206E-2</v>
      </c>
    </row>
    <row r="10" spans="1:11" x14ac:dyDescent="0.25">
      <c r="A10" s="2">
        <v>9</v>
      </c>
      <c r="B10" s="2">
        <v>48</v>
      </c>
      <c r="C10" s="2">
        <v>198</v>
      </c>
      <c r="F10" s="3" t="s">
        <v>6</v>
      </c>
      <c r="G10" s="3">
        <v>1.3562570956197233E-3</v>
      </c>
    </row>
    <row r="11" spans="1:11" x14ac:dyDescent="0.25">
      <c r="A11" s="2">
        <v>10</v>
      </c>
      <c r="B11" s="2">
        <v>59</v>
      </c>
      <c r="C11" s="2">
        <v>217</v>
      </c>
      <c r="F11" s="3" t="s">
        <v>7</v>
      </c>
      <c r="G11" s="3">
        <v>-8.8339851789147692E-3</v>
      </c>
    </row>
    <row r="12" spans="1:11" x14ac:dyDescent="0.25">
      <c r="A12" s="2">
        <v>11</v>
      </c>
      <c r="B12" s="2">
        <v>53</v>
      </c>
      <c r="C12" s="2">
        <v>210</v>
      </c>
      <c r="F12" s="3" t="s">
        <v>8</v>
      </c>
      <c r="G12" s="3">
        <v>50.339234447347394</v>
      </c>
    </row>
    <row r="13" spans="1:11" ht="15.75" thickBot="1" x14ac:dyDescent="0.3">
      <c r="A13" s="2">
        <v>12</v>
      </c>
      <c r="B13" s="2">
        <v>66</v>
      </c>
      <c r="C13" s="2">
        <v>292</v>
      </c>
      <c r="F13" s="4" t="s">
        <v>9</v>
      </c>
      <c r="G13" s="4">
        <v>100</v>
      </c>
    </row>
    <row r="14" spans="1:11" x14ac:dyDescent="0.25">
      <c r="A14" s="2">
        <v>13</v>
      </c>
      <c r="B14" s="2">
        <v>43</v>
      </c>
      <c r="C14" s="2">
        <v>176</v>
      </c>
    </row>
    <row r="15" spans="1:11" ht="15.75" thickBot="1" x14ac:dyDescent="0.3">
      <c r="A15" s="2">
        <v>14</v>
      </c>
      <c r="B15" s="2">
        <v>15</v>
      </c>
      <c r="C15" s="2">
        <v>325</v>
      </c>
      <c r="F15" t="s">
        <v>10</v>
      </c>
    </row>
    <row r="16" spans="1:11" x14ac:dyDescent="0.25">
      <c r="A16" s="2">
        <v>15</v>
      </c>
      <c r="B16" s="2">
        <v>24</v>
      </c>
      <c r="C16" s="2">
        <v>205</v>
      </c>
      <c r="F16" s="5"/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</row>
    <row r="17" spans="1:14" x14ac:dyDescent="0.25">
      <c r="A17" s="2">
        <v>16</v>
      </c>
      <c r="B17" s="2">
        <v>48</v>
      </c>
      <c r="C17" s="2">
        <v>192</v>
      </c>
      <c r="F17" s="3" t="s">
        <v>11</v>
      </c>
      <c r="G17" s="3">
        <v>1</v>
      </c>
      <c r="H17" s="3">
        <v>337.26457498932723</v>
      </c>
      <c r="I17" s="3">
        <v>337.26457498932723</v>
      </c>
      <c r="J17" s="3">
        <v>0.13309370465204953</v>
      </c>
      <c r="K17" s="3">
        <v>0.71603179484160584</v>
      </c>
    </row>
    <row r="18" spans="1:14" x14ac:dyDescent="0.25">
      <c r="A18" s="2">
        <v>17</v>
      </c>
      <c r="B18" s="2">
        <v>54</v>
      </c>
      <c r="C18" s="2">
        <v>205</v>
      </c>
      <c r="F18" s="3" t="s">
        <v>12</v>
      </c>
      <c r="G18" s="3">
        <v>98</v>
      </c>
      <c r="H18" s="3">
        <v>248335.77542501065</v>
      </c>
      <c r="I18" s="3">
        <v>2534.0385247450067</v>
      </c>
      <c r="J18" s="3"/>
      <c r="K18" s="3"/>
    </row>
    <row r="19" spans="1:14" ht="15.75" thickBot="1" x14ac:dyDescent="0.3">
      <c r="A19" s="2">
        <v>18</v>
      </c>
      <c r="B19" s="2">
        <v>59</v>
      </c>
      <c r="C19" s="2">
        <v>218</v>
      </c>
      <c r="F19" s="4" t="s">
        <v>13</v>
      </c>
      <c r="G19" s="4">
        <v>99</v>
      </c>
      <c r="H19" s="4">
        <v>248673.03999999998</v>
      </c>
      <c r="I19" s="4"/>
      <c r="J19" s="4"/>
      <c r="K19" s="4"/>
    </row>
    <row r="20" spans="1:14" ht="15.75" thickBot="1" x14ac:dyDescent="0.3">
      <c r="A20" s="2">
        <v>19</v>
      </c>
      <c r="B20" s="2">
        <v>59</v>
      </c>
      <c r="C20" s="2">
        <v>224</v>
      </c>
    </row>
    <row r="21" spans="1:14" x14ac:dyDescent="0.25">
      <c r="A21" s="2">
        <v>20</v>
      </c>
      <c r="B21" s="2">
        <v>40</v>
      </c>
      <c r="C21" s="2">
        <v>149</v>
      </c>
      <c r="F21" s="5"/>
      <c r="G21" s="5" t="s">
        <v>20</v>
      </c>
      <c r="H21" s="5" t="s">
        <v>8</v>
      </c>
      <c r="I21" s="5" t="s">
        <v>21</v>
      </c>
      <c r="J21" s="5" t="s">
        <v>22</v>
      </c>
      <c r="K21" s="5" t="s">
        <v>23</v>
      </c>
      <c r="L21" s="5" t="s">
        <v>24</v>
      </c>
      <c r="M21" s="5" t="s">
        <v>25</v>
      </c>
      <c r="N21" s="5" t="s">
        <v>26</v>
      </c>
    </row>
    <row r="22" spans="1:14" x14ac:dyDescent="0.25">
      <c r="A22" s="2">
        <v>21</v>
      </c>
      <c r="B22" s="2">
        <v>65</v>
      </c>
      <c r="C22" s="2">
        <v>274</v>
      </c>
      <c r="F22" s="3" t="s">
        <v>14</v>
      </c>
      <c r="G22" s="3">
        <v>233.65965790422749</v>
      </c>
      <c r="H22" s="3">
        <v>12.81573090977288</v>
      </c>
      <c r="I22" s="3">
        <v>18.232253747310335</v>
      </c>
      <c r="J22" s="3">
        <v>2.9487820505428301E-33</v>
      </c>
      <c r="K22" s="3">
        <v>208.22725765512911</v>
      </c>
      <c r="L22" s="3">
        <v>259.09205815332587</v>
      </c>
      <c r="M22" s="3">
        <v>199.99361595639158</v>
      </c>
      <c r="N22" s="3">
        <v>267.32569985206339</v>
      </c>
    </row>
    <row r="23" spans="1:14" ht="15.75" thickBot="1" x14ac:dyDescent="0.3">
      <c r="A23" s="2">
        <v>22</v>
      </c>
      <c r="B23" s="2">
        <v>48</v>
      </c>
      <c r="C23" s="2">
        <v>205</v>
      </c>
      <c r="F23" s="4" t="s">
        <v>1</v>
      </c>
      <c r="G23" s="4">
        <v>-0.105538976539702</v>
      </c>
      <c r="H23" s="4">
        <v>0.28929046623796689</v>
      </c>
      <c r="I23" s="4">
        <v>-0.36482009902423435</v>
      </c>
      <c r="J23" s="4">
        <v>0.71603179484160584</v>
      </c>
      <c r="K23" s="4">
        <v>-0.67962647708184953</v>
      </c>
      <c r="L23" s="4">
        <v>0.46854852400244551</v>
      </c>
      <c r="M23" s="4">
        <v>-0.86548509588663169</v>
      </c>
      <c r="N23" s="4">
        <v>0.65440714280722767</v>
      </c>
    </row>
    <row r="24" spans="1:14" x14ac:dyDescent="0.25">
      <c r="A24" s="2">
        <v>23</v>
      </c>
      <c r="B24" s="2">
        <v>36</v>
      </c>
      <c r="C24" s="2">
        <v>157</v>
      </c>
    </row>
    <row r="25" spans="1:14" x14ac:dyDescent="0.25">
      <c r="A25" s="2">
        <v>24</v>
      </c>
      <c r="B25" s="2">
        <v>53</v>
      </c>
      <c r="C25" s="2">
        <v>183</v>
      </c>
    </row>
    <row r="26" spans="1:14" x14ac:dyDescent="0.25">
      <c r="A26" s="2">
        <v>25</v>
      </c>
      <c r="B26" s="2">
        <v>68</v>
      </c>
      <c r="C26" s="2">
        <v>337</v>
      </c>
    </row>
    <row r="27" spans="1:14" x14ac:dyDescent="0.25">
      <c r="A27" s="2">
        <v>26</v>
      </c>
      <c r="B27" s="2">
        <v>44</v>
      </c>
      <c r="C27" s="2">
        <v>181</v>
      </c>
      <c r="F27" t="s">
        <v>27</v>
      </c>
    </row>
    <row r="28" spans="1:14" ht="15.75" thickBot="1" x14ac:dyDescent="0.3">
      <c r="A28" s="2">
        <v>27</v>
      </c>
      <c r="B28" s="2">
        <v>54</v>
      </c>
      <c r="C28" s="2">
        <v>187</v>
      </c>
    </row>
    <row r="29" spans="1:14" x14ac:dyDescent="0.25">
      <c r="A29" s="2">
        <v>28</v>
      </c>
      <c r="B29" s="2">
        <v>17</v>
      </c>
      <c r="C29" s="2">
        <v>238</v>
      </c>
      <c r="F29" s="5" t="s">
        <v>28</v>
      </c>
      <c r="G29" s="5" t="s">
        <v>29</v>
      </c>
      <c r="H29" s="5" t="s">
        <v>30</v>
      </c>
      <c r="I29" s="7" t="s">
        <v>31</v>
      </c>
      <c r="J29" s="7" t="s">
        <v>1</v>
      </c>
    </row>
    <row r="30" spans="1:14" x14ac:dyDescent="0.25">
      <c r="A30" s="2">
        <v>29</v>
      </c>
      <c r="B30" s="2">
        <v>35</v>
      </c>
      <c r="C30" s="2">
        <v>161</v>
      </c>
      <c r="F30" s="3">
        <v>1</v>
      </c>
      <c r="G30" s="3">
        <v>229.75471577225852</v>
      </c>
      <c r="H30" s="3">
        <v>-34.754715772258521</v>
      </c>
      <c r="I30" s="2">
        <v>195</v>
      </c>
      <c r="J30" s="2">
        <v>37</v>
      </c>
    </row>
    <row r="31" spans="1:14" x14ac:dyDescent="0.25">
      <c r="A31" s="2">
        <v>30</v>
      </c>
      <c r="B31" s="2">
        <v>21</v>
      </c>
      <c r="C31" s="2">
        <v>252</v>
      </c>
      <c r="F31" s="3">
        <v>2</v>
      </c>
      <c r="G31" s="3">
        <v>229.43809884263942</v>
      </c>
      <c r="H31" s="3">
        <v>-59.43809884263942</v>
      </c>
      <c r="I31" s="2">
        <v>170</v>
      </c>
      <c r="J31" s="2">
        <v>40</v>
      </c>
    </row>
    <row r="32" spans="1:14" x14ac:dyDescent="0.25">
      <c r="A32" s="2">
        <v>31</v>
      </c>
      <c r="B32" s="2">
        <v>34</v>
      </c>
      <c r="C32" s="2">
        <v>194</v>
      </c>
      <c r="F32" s="3">
        <v>3</v>
      </c>
      <c r="G32" s="3">
        <v>227.53839726492478</v>
      </c>
      <c r="H32" s="3">
        <v>14.461602735075218</v>
      </c>
      <c r="I32" s="2">
        <v>242</v>
      </c>
      <c r="J32" s="2">
        <v>58</v>
      </c>
    </row>
    <row r="33" spans="1:23" x14ac:dyDescent="0.25">
      <c r="A33" s="2">
        <v>32</v>
      </c>
      <c r="B33" s="2">
        <v>58</v>
      </c>
      <c r="C33" s="2">
        <v>273</v>
      </c>
      <c r="F33" s="3">
        <v>4</v>
      </c>
      <c r="G33" s="3">
        <v>231.97103427959226</v>
      </c>
      <c r="H33" s="3">
        <v>59.02896572040774</v>
      </c>
      <c r="I33" s="2">
        <v>291</v>
      </c>
      <c r="J33" s="2">
        <v>16</v>
      </c>
    </row>
    <row r="34" spans="1:23" x14ac:dyDescent="0.25">
      <c r="A34" s="2">
        <v>33</v>
      </c>
      <c r="B34" s="2">
        <v>20</v>
      </c>
      <c r="C34" s="2">
        <v>303</v>
      </c>
      <c r="F34" s="3">
        <v>5</v>
      </c>
      <c r="G34" s="3">
        <v>226.48300749952776</v>
      </c>
      <c r="H34" s="3">
        <v>121.51699250047224</v>
      </c>
      <c r="I34" s="2">
        <v>348</v>
      </c>
      <c r="J34" s="2">
        <v>68</v>
      </c>
    </row>
    <row r="35" spans="1:23" x14ac:dyDescent="0.25">
      <c r="A35" s="2">
        <v>34</v>
      </c>
      <c r="B35" s="2">
        <v>13</v>
      </c>
      <c r="C35" s="2">
        <v>314</v>
      </c>
      <c r="F35" s="3">
        <v>6</v>
      </c>
      <c r="G35" s="3">
        <v>228.17163112416299</v>
      </c>
      <c r="H35" s="3">
        <v>-30.171631124162985</v>
      </c>
      <c r="I35" s="2">
        <v>198</v>
      </c>
      <c r="J35" s="2">
        <v>52</v>
      </c>
    </row>
    <row r="36" spans="1:23" x14ac:dyDescent="0.25">
      <c r="A36" s="2">
        <v>35</v>
      </c>
      <c r="B36" s="2">
        <v>45</v>
      </c>
      <c r="C36" s="2">
        <v>168</v>
      </c>
      <c r="F36" s="3">
        <v>7</v>
      </c>
      <c r="G36" s="3">
        <v>231.23226144381434</v>
      </c>
      <c r="H36" s="3">
        <v>-31.232261443814338</v>
      </c>
      <c r="I36" s="2">
        <v>200</v>
      </c>
      <c r="J36" s="2">
        <v>23</v>
      </c>
    </row>
    <row r="37" spans="1:23" x14ac:dyDescent="0.25">
      <c r="A37" s="2">
        <v>36</v>
      </c>
      <c r="B37" s="2">
        <v>52</v>
      </c>
      <c r="C37" s="2">
        <v>159</v>
      </c>
      <c r="F37" s="3">
        <v>8</v>
      </c>
      <c r="G37" s="3">
        <v>231.97103427959226</v>
      </c>
      <c r="H37" s="3">
        <v>54.02896572040774</v>
      </c>
      <c r="I37" s="2">
        <v>286</v>
      </c>
      <c r="J37" s="2">
        <v>16</v>
      </c>
    </row>
    <row r="38" spans="1:23" x14ac:dyDescent="0.25">
      <c r="A38" s="2">
        <v>37</v>
      </c>
      <c r="B38" s="2">
        <v>69</v>
      </c>
      <c r="C38" s="2">
        <v>355</v>
      </c>
      <c r="F38" s="3">
        <v>9</v>
      </c>
      <c r="G38" s="3">
        <v>228.59378703032178</v>
      </c>
      <c r="H38" s="3">
        <v>-30.593787030321778</v>
      </c>
      <c r="I38" s="2">
        <v>198</v>
      </c>
      <c r="J38" s="2">
        <v>48</v>
      </c>
    </row>
    <row r="39" spans="1:23" x14ac:dyDescent="0.25">
      <c r="A39" s="2">
        <v>38</v>
      </c>
      <c r="B39" s="2">
        <v>14</v>
      </c>
      <c r="C39" s="2">
        <v>307</v>
      </c>
      <c r="F39" s="3">
        <v>10</v>
      </c>
      <c r="G39" s="3">
        <v>227.43285828838506</v>
      </c>
      <c r="H39" s="3">
        <v>-10.432858288385063</v>
      </c>
      <c r="I39" s="2">
        <v>217</v>
      </c>
      <c r="J39" s="2">
        <v>59</v>
      </c>
    </row>
    <row r="40" spans="1:23" x14ac:dyDescent="0.25">
      <c r="A40" s="2">
        <v>39</v>
      </c>
      <c r="B40" s="2">
        <v>14</v>
      </c>
      <c r="C40" s="2">
        <v>297</v>
      </c>
      <c r="F40" s="3">
        <v>11</v>
      </c>
      <c r="G40" s="3">
        <v>228.06609214762329</v>
      </c>
      <c r="H40" s="3">
        <v>-18.066092147623294</v>
      </c>
      <c r="I40" s="2">
        <v>210</v>
      </c>
      <c r="J40" s="2">
        <v>53</v>
      </c>
    </row>
    <row r="41" spans="1:23" x14ac:dyDescent="0.25">
      <c r="A41" s="2">
        <v>40</v>
      </c>
      <c r="B41" s="2">
        <v>26</v>
      </c>
      <c r="C41" s="2">
        <v>212</v>
      </c>
      <c r="F41" s="3">
        <v>12</v>
      </c>
      <c r="G41" s="3">
        <v>226.69408545260717</v>
      </c>
      <c r="H41" s="3">
        <v>65.305914547392831</v>
      </c>
      <c r="I41" s="2">
        <v>292</v>
      </c>
      <c r="J41" s="2">
        <v>66</v>
      </c>
    </row>
    <row r="42" spans="1:23" x14ac:dyDescent="0.25">
      <c r="A42" s="2">
        <v>41</v>
      </c>
      <c r="B42" s="2">
        <v>52</v>
      </c>
      <c r="C42" s="2">
        <v>233</v>
      </c>
      <c r="F42" s="3">
        <v>13</v>
      </c>
      <c r="G42" s="3">
        <v>229.12148191302029</v>
      </c>
      <c r="H42" s="3">
        <v>-53.12148191302029</v>
      </c>
      <c r="I42" s="2">
        <v>176</v>
      </c>
      <c r="J42" s="2">
        <v>43</v>
      </c>
    </row>
    <row r="43" spans="1:23" x14ac:dyDescent="0.25">
      <c r="A43" s="2">
        <v>42</v>
      </c>
      <c r="B43" s="2">
        <v>53</v>
      </c>
      <c r="C43" s="2">
        <v>207</v>
      </c>
      <c r="F43" s="3">
        <v>14</v>
      </c>
      <c r="G43" s="3">
        <v>232.07657325613195</v>
      </c>
      <c r="H43" s="3">
        <v>92.923426743868049</v>
      </c>
      <c r="I43" s="2">
        <v>325</v>
      </c>
      <c r="J43" s="2">
        <v>15</v>
      </c>
    </row>
    <row r="44" spans="1:23" x14ac:dyDescent="0.25">
      <c r="A44" s="2">
        <v>43</v>
      </c>
      <c r="B44" s="2">
        <v>56</v>
      </c>
      <c r="C44" s="2">
        <v>193</v>
      </c>
      <c r="F44" s="3">
        <v>15</v>
      </c>
      <c r="G44" s="3">
        <v>231.12672246727465</v>
      </c>
      <c r="H44" s="3">
        <v>-26.126722467274647</v>
      </c>
      <c r="I44" s="2">
        <v>205</v>
      </c>
      <c r="J44" s="2">
        <v>24</v>
      </c>
    </row>
    <row r="45" spans="1:23" x14ac:dyDescent="0.25">
      <c r="A45" s="2">
        <v>44</v>
      </c>
      <c r="B45" s="2">
        <v>26</v>
      </c>
      <c r="C45" s="2">
        <v>225</v>
      </c>
      <c r="F45" s="3">
        <v>16</v>
      </c>
      <c r="G45" s="3">
        <v>228.59378703032178</v>
      </c>
      <c r="H45" s="3">
        <v>-36.593787030321778</v>
      </c>
      <c r="I45" s="2">
        <v>192</v>
      </c>
      <c r="J45" s="2">
        <v>48</v>
      </c>
      <c r="P45" s="31" t="s">
        <v>41</v>
      </c>
    </row>
    <row r="46" spans="1:23" x14ac:dyDescent="0.25">
      <c r="A46" s="2">
        <v>45</v>
      </c>
      <c r="B46" s="2">
        <v>23</v>
      </c>
      <c r="C46" s="2">
        <v>263</v>
      </c>
      <c r="F46" s="3">
        <v>17</v>
      </c>
      <c r="G46" s="3">
        <v>227.96055317108357</v>
      </c>
      <c r="H46" s="3">
        <v>-22.960553171083575</v>
      </c>
      <c r="I46" s="2">
        <v>205</v>
      </c>
      <c r="J46" s="2">
        <v>54</v>
      </c>
      <c r="O46" s="31" t="s">
        <v>32</v>
      </c>
      <c r="P46" t="s">
        <v>34</v>
      </c>
      <c r="Q46" t="s">
        <v>42</v>
      </c>
      <c r="R46" t="s">
        <v>43</v>
      </c>
      <c r="T46" t="s">
        <v>63</v>
      </c>
      <c r="U46" t="s">
        <v>45</v>
      </c>
      <c r="W46" t="s">
        <v>64</v>
      </c>
    </row>
    <row r="47" spans="1:23" x14ac:dyDescent="0.25">
      <c r="A47" s="2">
        <v>46</v>
      </c>
      <c r="B47" s="2">
        <v>23</v>
      </c>
      <c r="C47" s="2">
        <v>268</v>
      </c>
      <c r="F47" s="3">
        <v>18</v>
      </c>
      <c r="G47" s="3">
        <v>227.43285828838506</v>
      </c>
      <c r="H47" s="3">
        <v>-9.4328582883850629</v>
      </c>
      <c r="I47" s="2">
        <v>218</v>
      </c>
      <c r="J47" s="2">
        <v>59</v>
      </c>
      <c r="O47" s="32" t="s">
        <v>35</v>
      </c>
      <c r="P47" s="30">
        <v>44.374119115935514</v>
      </c>
      <c r="Q47" s="30">
        <v>36.146030198271148</v>
      </c>
      <c r="R47" s="30">
        <v>16</v>
      </c>
      <c r="T47">
        <f>GETPIVOTDATA("StdDev of Residuals",$O$45,"Age",10)/SQRT(GETPIVOTDATA("Count of Residuals",$O$45,"Age",10))</f>
        <v>9.0365075495677871</v>
      </c>
      <c r="U47">
        <f>GETPIVOTDATA("Average of Residuals",$O$45,"Age",10)/T47</f>
        <v>4.9105385982948588</v>
      </c>
      <c r="W47">
        <f>TINV(0.1,15)</f>
        <v>1.7530503556925723</v>
      </c>
    </row>
    <row r="48" spans="1:23" x14ac:dyDescent="0.25">
      <c r="A48" s="2">
        <v>47</v>
      </c>
      <c r="B48" s="2">
        <v>23</v>
      </c>
      <c r="C48" s="2">
        <v>254</v>
      </c>
      <c r="F48" s="3">
        <v>19</v>
      </c>
      <c r="G48" s="3">
        <v>227.43285828838506</v>
      </c>
      <c r="H48" s="3">
        <v>-3.4328582883850629</v>
      </c>
      <c r="I48" s="2">
        <v>224</v>
      </c>
      <c r="J48" s="2">
        <v>59</v>
      </c>
      <c r="O48" s="32" t="s">
        <v>36</v>
      </c>
      <c r="P48" s="30">
        <v>3.8658922306724284</v>
      </c>
      <c r="Q48" s="30">
        <v>38.77793158093543</v>
      </c>
      <c r="R48" s="30">
        <v>15</v>
      </c>
      <c r="T48">
        <f>GETPIVOTDATA("StdDev of Residuals",$O$45,"Age",20)/SQRT(GETPIVOTDATA("Count of Residuals",$O$45,"Age",20))</f>
        <v>10.012418880888903</v>
      </c>
      <c r="U48">
        <f>GETPIVOTDATA("Average of Residuals",$O$45,"Age",20)/T48</f>
        <v>0.38610971800744459</v>
      </c>
      <c r="W48">
        <f>TINV(0.1, 14)</f>
        <v>1.7613101357748921</v>
      </c>
    </row>
    <row r="49" spans="1:23" x14ac:dyDescent="0.25">
      <c r="A49" s="2">
        <v>48</v>
      </c>
      <c r="B49" s="2">
        <v>65</v>
      </c>
      <c r="C49" s="2">
        <v>285</v>
      </c>
      <c r="F49" s="3">
        <v>20</v>
      </c>
      <c r="G49" s="3">
        <v>229.43809884263942</v>
      </c>
      <c r="H49" s="3">
        <v>-80.43809884263942</v>
      </c>
      <c r="I49" s="2">
        <v>149</v>
      </c>
      <c r="J49" s="2">
        <v>40</v>
      </c>
      <c r="O49" s="32" t="s">
        <v>37</v>
      </c>
      <c r="P49" s="30">
        <v>-43.50425526379945</v>
      </c>
      <c r="Q49" s="30">
        <v>22.824075978453958</v>
      </c>
      <c r="R49" s="30">
        <v>13</v>
      </c>
      <c r="T49">
        <f>GETPIVOTDATA("StdDev of Residuals",$O$45,"Age",30)/SQRT(GETPIVOTDATA("Count of Residuals",$O$45,"Age",30))</f>
        <v>6.3302597119539747</v>
      </c>
      <c r="U49">
        <f>GETPIVOTDATA("Average of Residuals",$O$45,"Age",30)/GETPIVOTDATA("Count of Residuals",$O$45,"Age",30)</f>
        <v>-3.3464811741384191</v>
      </c>
      <c r="W49">
        <f>TINV(0.1, 12)</f>
        <v>1.7822875556493194</v>
      </c>
    </row>
    <row r="50" spans="1:23" x14ac:dyDescent="0.25">
      <c r="A50" s="2">
        <v>49</v>
      </c>
      <c r="B50" s="2">
        <v>64</v>
      </c>
      <c r="C50" s="2">
        <v>283</v>
      </c>
      <c r="F50" s="3">
        <v>21</v>
      </c>
      <c r="G50" s="3">
        <v>226.79962442914686</v>
      </c>
      <c r="H50" s="3">
        <v>47.20037557085314</v>
      </c>
      <c r="I50" s="2">
        <v>274</v>
      </c>
      <c r="J50" s="2">
        <v>65</v>
      </c>
      <c r="O50" s="32" t="s">
        <v>38</v>
      </c>
      <c r="P50" s="30">
        <v>-44.776130884835084</v>
      </c>
      <c r="Q50" s="30">
        <v>25.831732208658611</v>
      </c>
      <c r="R50" s="30">
        <v>18</v>
      </c>
      <c r="T50">
        <f>GETPIVOTDATA("StdDev of Residuals",$O$45,"Age",40)/SQRT(GETPIVOTDATA("Count of Residuals",$O$45,"Age",40))</f>
        <v>6.0885976715124857</v>
      </c>
      <c r="U50">
        <f>GETPIVOTDATA("Average of Residuals",$O$45,"Age",40)/T50</f>
        <v>-7.3540958527010245</v>
      </c>
      <c r="W50">
        <f>TINV(0.1, 17)</f>
        <v>1.7396067260750732</v>
      </c>
    </row>
    <row r="51" spans="1:23" x14ac:dyDescent="0.25">
      <c r="A51" s="2">
        <v>50</v>
      </c>
      <c r="B51" s="2">
        <v>48</v>
      </c>
      <c r="C51" s="2">
        <v>172</v>
      </c>
      <c r="F51" s="3">
        <v>22</v>
      </c>
      <c r="G51" s="3">
        <v>228.59378703032178</v>
      </c>
      <c r="H51" s="3">
        <v>-23.593787030321778</v>
      </c>
      <c r="I51" s="2">
        <v>205</v>
      </c>
      <c r="J51" s="2">
        <v>48</v>
      </c>
      <c r="O51" s="32" t="s">
        <v>39</v>
      </c>
      <c r="P51" s="30">
        <v>-17.546426828774766</v>
      </c>
      <c r="Q51" s="30">
        <v>24.921671728198351</v>
      </c>
      <c r="R51" s="30">
        <v>22</v>
      </c>
      <c r="T51">
        <f>GETPIVOTDATA("StdDev of Residuals",$O$45,"Age",50)/SQRT(22)</f>
        <v>5.3133182652312518</v>
      </c>
      <c r="U51">
        <f>GETPIVOTDATA("Average of Residuals",$O$45,"Age",50)/T51</f>
        <v>-3.3023481660402836</v>
      </c>
      <c r="W51">
        <f>TINV(0.1, 21)</f>
        <v>1.7207429028118781</v>
      </c>
    </row>
    <row r="52" spans="1:23" x14ac:dyDescent="0.25">
      <c r="A52" s="2">
        <v>51</v>
      </c>
      <c r="B52" s="2">
        <v>33</v>
      </c>
      <c r="C52" s="2">
        <v>207</v>
      </c>
      <c r="F52" s="3">
        <v>23</v>
      </c>
      <c r="G52" s="3">
        <v>229.86025474879821</v>
      </c>
      <c r="H52" s="3">
        <v>-72.860254748798212</v>
      </c>
      <c r="I52" s="2">
        <v>157</v>
      </c>
      <c r="J52" s="2">
        <v>36</v>
      </c>
      <c r="O52" s="32" t="s">
        <v>40</v>
      </c>
      <c r="P52" s="30">
        <v>61.848298454650759</v>
      </c>
      <c r="Q52" s="30">
        <v>33.316173892992673</v>
      </c>
      <c r="R52" s="30">
        <v>16</v>
      </c>
      <c r="T52">
        <f>GETPIVOTDATA("StdDev of Residuals",$O$45,"Age",60)/4</f>
        <v>8.3290434732481682</v>
      </c>
      <c r="U52">
        <f>GETPIVOTDATA("Average of Residuals",$O$45,"Age",60)/T52</f>
        <v>7.4256183982350015</v>
      </c>
    </row>
    <row r="53" spans="1:23" x14ac:dyDescent="0.25">
      <c r="A53" s="2">
        <v>52</v>
      </c>
      <c r="B53" s="2">
        <v>60</v>
      </c>
      <c r="C53" s="2">
        <v>269</v>
      </c>
      <c r="F53" s="3">
        <v>24</v>
      </c>
      <c r="G53" s="3">
        <v>228.06609214762329</v>
      </c>
      <c r="H53" s="3">
        <v>-45.066092147623294</v>
      </c>
      <c r="I53" s="2">
        <v>183</v>
      </c>
      <c r="J53" s="2">
        <v>53</v>
      </c>
      <c r="O53" s="32" t="s">
        <v>33</v>
      </c>
      <c r="P53" s="30">
        <v>-2.6716406864579765E-14</v>
      </c>
      <c r="Q53" s="30">
        <v>50.084350609848272</v>
      </c>
      <c r="R53" s="30">
        <v>100</v>
      </c>
    </row>
    <row r="54" spans="1:23" x14ac:dyDescent="0.25">
      <c r="A54" s="2">
        <v>53</v>
      </c>
      <c r="B54" s="2">
        <v>18</v>
      </c>
      <c r="C54" s="2">
        <v>233</v>
      </c>
      <c r="F54" s="3">
        <v>25</v>
      </c>
      <c r="G54" s="3">
        <v>226.48300749952776</v>
      </c>
      <c r="H54" s="3">
        <v>110.51699250047224</v>
      </c>
      <c r="I54" s="2">
        <v>337</v>
      </c>
      <c r="J54" s="2">
        <v>68</v>
      </c>
    </row>
    <row r="55" spans="1:23" x14ac:dyDescent="0.25">
      <c r="A55" s="2">
        <v>54</v>
      </c>
      <c r="B55" s="2">
        <v>14</v>
      </c>
      <c r="C55" s="2">
        <v>255</v>
      </c>
      <c r="F55" s="3">
        <v>26</v>
      </c>
      <c r="G55" s="3">
        <v>229.0159429364806</v>
      </c>
      <c r="H55" s="3">
        <v>-48.015942936480599</v>
      </c>
      <c r="I55" s="2">
        <v>181</v>
      </c>
      <c r="J55" s="2">
        <v>44</v>
      </c>
    </row>
    <row r="56" spans="1:23" x14ac:dyDescent="0.25">
      <c r="A56" s="2">
        <v>55</v>
      </c>
      <c r="B56" s="2">
        <v>57</v>
      </c>
      <c r="C56" s="2">
        <v>208</v>
      </c>
      <c r="F56" s="3">
        <v>27</v>
      </c>
      <c r="G56" s="3">
        <v>227.96055317108357</v>
      </c>
      <c r="H56" s="3">
        <v>-40.960553171083575</v>
      </c>
      <c r="I56" s="2">
        <v>187</v>
      </c>
      <c r="J56" s="2">
        <v>54</v>
      </c>
    </row>
    <row r="57" spans="1:23" x14ac:dyDescent="0.25">
      <c r="A57" s="2">
        <v>56</v>
      </c>
      <c r="B57" s="2">
        <v>41</v>
      </c>
      <c r="C57" s="2">
        <v>196</v>
      </c>
      <c r="F57" s="3">
        <v>28</v>
      </c>
      <c r="G57" s="3">
        <v>231.86549530305254</v>
      </c>
      <c r="H57" s="3">
        <v>6.1345046969474595</v>
      </c>
      <c r="I57" s="2">
        <v>238</v>
      </c>
      <c r="J57" s="2">
        <v>17</v>
      </c>
    </row>
    <row r="58" spans="1:23" x14ac:dyDescent="0.25">
      <c r="A58" s="2">
        <v>57</v>
      </c>
      <c r="B58" s="2">
        <v>20</v>
      </c>
      <c r="C58" s="2">
        <v>252</v>
      </c>
      <c r="F58" s="3">
        <v>29</v>
      </c>
      <c r="G58" s="3">
        <v>229.9657937253379</v>
      </c>
      <c r="H58" s="3">
        <v>-68.965793725337903</v>
      </c>
      <c r="I58" s="2">
        <v>161</v>
      </c>
      <c r="J58" s="2">
        <v>35</v>
      </c>
    </row>
    <row r="59" spans="1:23" x14ac:dyDescent="0.25">
      <c r="A59" s="2">
        <v>58</v>
      </c>
      <c r="B59" s="2">
        <v>35</v>
      </c>
      <c r="C59" s="2">
        <v>168</v>
      </c>
      <c r="F59" s="3">
        <v>30</v>
      </c>
      <c r="G59" s="3">
        <v>231.44333939689375</v>
      </c>
      <c r="H59" s="3">
        <v>20.556660603106252</v>
      </c>
      <c r="I59" s="2">
        <v>252</v>
      </c>
      <c r="J59" s="2">
        <v>21</v>
      </c>
    </row>
    <row r="60" spans="1:23" x14ac:dyDescent="0.25">
      <c r="A60" s="2">
        <v>59</v>
      </c>
      <c r="B60" s="2">
        <v>41</v>
      </c>
      <c r="C60" s="2">
        <v>154</v>
      </c>
      <c r="F60" s="3">
        <v>31</v>
      </c>
      <c r="G60" s="3">
        <v>230.07133270187762</v>
      </c>
      <c r="H60" s="3">
        <v>-36.071332701877623</v>
      </c>
      <c r="I60" s="2">
        <v>194</v>
      </c>
      <c r="J60" s="2">
        <v>34</v>
      </c>
    </row>
    <row r="61" spans="1:23" x14ac:dyDescent="0.25">
      <c r="A61" s="2">
        <v>60</v>
      </c>
      <c r="B61" s="2">
        <v>17</v>
      </c>
      <c r="C61" s="2">
        <v>234</v>
      </c>
      <c r="F61" s="3">
        <v>32</v>
      </c>
      <c r="G61" s="3">
        <v>227.53839726492478</v>
      </c>
      <c r="H61" s="3">
        <v>45.461602735075218</v>
      </c>
      <c r="I61" s="2">
        <v>273</v>
      </c>
      <c r="J61" s="2">
        <v>58</v>
      </c>
    </row>
    <row r="62" spans="1:23" x14ac:dyDescent="0.25">
      <c r="A62" s="2">
        <v>61</v>
      </c>
      <c r="B62" s="2">
        <v>65</v>
      </c>
      <c r="C62" s="2">
        <v>286</v>
      </c>
      <c r="F62" s="3">
        <v>33</v>
      </c>
      <c r="G62" s="3">
        <v>231.54887837343344</v>
      </c>
      <c r="H62" s="3">
        <v>71.451121626566561</v>
      </c>
      <c r="I62" s="2">
        <v>303</v>
      </c>
      <c r="J62" s="2">
        <v>20</v>
      </c>
    </row>
    <row r="63" spans="1:23" x14ac:dyDescent="0.25">
      <c r="A63" s="2">
        <v>62</v>
      </c>
      <c r="B63" s="2">
        <v>11</v>
      </c>
      <c r="C63" s="2">
        <v>322</v>
      </c>
      <c r="F63" s="3">
        <v>34</v>
      </c>
      <c r="G63" s="3">
        <v>232.28765120921136</v>
      </c>
      <c r="H63" s="3">
        <v>81.712348790788639</v>
      </c>
      <c r="I63" s="2">
        <v>314</v>
      </c>
      <c r="J63" s="2">
        <v>13</v>
      </c>
    </row>
    <row r="64" spans="1:23" x14ac:dyDescent="0.25">
      <c r="A64" s="2">
        <v>63</v>
      </c>
      <c r="B64" s="2">
        <v>51</v>
      </c>
      <c r="C64" s="2">
        <v>199</v>
      </c>
      <c r="F64" s="3">
        <v>35</v>
      </c>
      <c r="G64" s="3">
        <v>228.91040395994091</v>
      </c>
      <c r="H64" s="3">
        <v>-60.910403959940908</v>
      </c>
      <c r="I64" s="2">
        <v>168</v>
      </c>
      <c r="J64" s="2">
        <v>45</v>
      </c>
    </row>
    <row r="65" spans="1:10" x14ac:dyDescent="0.25">
      <c r="A65" s="2">
        <v>64</v>
      </c>
      <c r="B65" s="2">
        <v>36</v>
      </c>
      <c r="C65" s="2">
        <v>158</v>
      </c>
      <c r="F65" s="3">
        <v>36</v>
      </c>
      <c r="G65" s="3">
        <v>228.17163112416299</v>
      </c>
      <c r="H65" s="3">
        <v>-69.171631124162985</v>
      </c>
      <c r="I65" s="2">
        <v>159</v>
      </c>
      <c r="J65" s="2">
        <v>52</v>
      </c>
    </row>
    <row r="66" spans="1:10" x14ac:dyDescent="0.25">
      <c r="A66" s="2">
        <v>65</v>
      </c>
      <c r="B66" s="2">
        <v>19</v>
      </c>
      <c r="C66" s="2">
        <v>218</v>
      </c>
      <c r="F66" s="3">
        <v>37</v>
      </c>
      <c r="G66" s="3">
        <v>226.37746852298804</v>
      </c>
      <c r="H66" s="3">
        <v>128.62253147701196</v>
      </c>
      <c r="I66" s="2">
        <v>355</v>
      </c>
      <c r="J66" s="2">
        <v>69</v>
      </c>
    </row>
    <row r="67" spans="1:10" x14ac:dyDescent="0.25">
      <c r="A67" s="2">
        <v>66</v>
      </c>
      <c r="B67" s="2">
        <v>49</v>
      </c>
      <c r="C67" s="2">
        <v>243</v>
      </c>
      <c r="F67" s="3">
        <v>38</v>
      </c>
      <c r="G67" s="3">
        <v>232.18211223267167</v>
      </c>
      <c r="H67" s="3">
        <v>74.81788776732833</v>
      </c>
      <c r="I67" s="2">
        <v>307</v>
      </c>
      <c r="J67" s="2">
        <v>14</v>
      </c>
    </row>
    <row r="68" spans="1:10" x14ac:dyDescent="0.25">
      <c r="A68" s="2">
        <v>67</v>
      </c>
      <c r="B68" s="2">
        <v>63</v>
      </c>
      <c r="C68" s="2">
        <v>271</v>
      </c>
      <c r="F68" s="3">
        <v>39</v>
      </c>
      <c r="G68" s="3">
        <v>232.18211223267167</v>
      </c>
      <c r="H68" s="3">
        <v>64.81788776732833</v>
      </c>
      <c r="I68" s="2">
        <v>297</v>
      </c>
      <c r="J68" s="2">
        <v>14</v>
      </c>
    </row>
    <row r="69" spans="1:10" x14ac:dyDescent="0.25">
      <c r="A69" s="2">
        <v>68</v>
      </c>
      <c r="B69" s="2">
        <v>62</v>
      </c>
      <c r="C69" s="2">
        <v>264</v>
      </c>
      <c r="F69" s="3">
        <v>40</v>
      </c>
      <c r="G69" s="3">
        <v>230.91564451419524</v>
      </c>
      <c r="H69" s="3">
        <v>-18.915644514195236</v>
      </c>
      <c r="I69" s="2">
        <v>212</v>
      </c>
      <c r="J69" s="2">
        <v>26</v>
      </c>
    </row>
    <row r="70" spans="1:10" x14ac:dyDescent="0.25">
      <c r="A70" s="2">
        <v>69</v>
      </c>
      <c r="B70" s="2">
        <v>22</v>
      </c>
      <c r="C70" s="2">
        <v>177</v>
      </c>
      <c r="F70" s="3">
        <v>41</v>
      </c>
      <c r="G70" s="3">
        <v>228.17163112416299</v>
      </c>
      <c r="H70" s="3">
        <v>4.8283688758370147</v>
      </c>
      <c r="I70" s="2">
        <v>233</v>
      </c>
      <c r="J70" s="2">
        <v>52</v>
      </c>
    </row>
    <row r="71" spans="1:10" x14ac:dyDescent="0.25">
      <c r="A71" s="2">
        <v>70</v>
      </c>
      <c r="B71" s="2">
        <v>54</v>
      </c>
      <c r="C71" s="2">
        <v>203</v>
      </c>
      <c r="F71" s="3">
        <v>42</v>
      </c>
      <c r="G71" s="3">
        <v>228.06609214762329</v>
      </c>
      <c r="H71" s="3">
        <v>-21.066092147623294</v>
      </c>
      <c r="I71" s="2">
        <v>207</v>
      </c>
      <c r="J71" s="2">
        <v>53</v>
      </c>
    </row>
    <row r="72" spans="1:10" x14ac:dyDescent="0.25">
      <c r="A72" s="2">
        <v>71</v>
      </c>
      <c r="B72" s="2">
        <v>68</v>
      </c>
      <c r="C72" s="2">
        <v>304</v>
      </c>
      <c r="F72" s="3">
        <v>43</v>
      </c>
      <c r="G72" s="3">
        <v>227.74947521800416</v>
      </c>
      <c r="H72" s="3">
        <v>-34.749475218004164</v>
      </c>
      <c r="I72" s="2">
        <v>193</v>
      </c>
      <c r="J72" s="2">
        <v>56</v>
      </c>
    </row>
    <row r="73" spans="1:10" x14ac:dyDescent="0.25">
      <c r="A73" s="2">
        <v>72</v>
      </c>
      <c r="B73" s="2">
        <v>60</v>
      </c>
      <c r="C73" s="2">
        <v>238</v>
      </c>
      <c r="F73" s="3">
        <v>44</v>
      </c>
      <c r="G73" s="3">
        <v>230.91564451419524</v>
      </c>
      <c r="H73" s="3">
        <v>-5.9156445141952361</v>
      </c>
      <c r="I73" s="2">
        <v>225</v>
      </c>
      <c r="J73" s="2">
        <v>26</v>
      </c>
    </row>
    <row r="74" spans="1:10" x14ac:dyDescent="0.25">
      <c r="A74" s="2">
        <v>73</v>
      </c>
      <c r="B74" s="2">
        <v>20</v>
      </c>
      <c r="C74" s="2">
        <v>271</v>
      </c>
      <c r="F74" s="3">
        <v>45</v>
      </c>
      <c r="G74" s="3">
        <v>231.23226144381434</v>
      </c>
      <c r="H74" s="3">
        <v>31.767738556185662</v>
      </c>
      <c r="I74" s="2">
        <v>263</v>
      </c>
      <c r="J74" s="2">
        <v>23</v>
      </c>
    </row>
    <row r="75" spans="1:10" x14ac:dyDescent="0.25">
      <c r="A75" s="2">
        <v>74</v>
      </c>
      <c r="B75" s="2">
        <v>15</v>
      </c>
      <c r="C75" s="2">
        <v>254</v>
      </c>
      <c r="F75" s="3">
        <v>46</v>
      </c>
      <c r="G75" s="3">
        <v>231.23226144381434</v>
      </c>
      <c r="H75" s="3">
        <v>36.767738556185662</v>
      </c>
      <c r="I75" s="2">
        <v>268</v>
      </c>
      <c r="J75" s="2">
        <v>23</v>
      </c>
    </row>
    <row r="76" spans="1:10" x14ac:dyDescent="0.25">
      <c r="A76" s="2">
        <v>75</v>
      </c>
      <c r="B76" s="2">
        <v>57</v>
      </c>
      <c r="C76" s="2">
        <v>234</v>
      </c>
      <c r="F76" s="3">
        <v>47</v>
      </c>
      <c r="G76" s="3">
        <v>231.23226144381434</v>
      </c>
      <c r="H76" s="3">
        <v>22.767738556185662</v>
      </c>
      <c r="I76" s="2">
        <v>254</v>
      </c>
      <c r="J76" s="2">
        <v>23</v>
      </c>
    </row>
    <row r="77" spans="1:10" x14ac:dyDescent="0.25">
      <c r="A77" s="2">
        <v>76</v>
      </c>
      <c r="B77" s="2">
        <v>37</v>
      </c>
      <c r="C77" s="2">
        <v>220</v>
      </c>
      <c r="F77" s="3">
        <v>48</v>
      </c>
      <c r="G77" s="3">
        <v>226.79962442914686</v>
      </c>
      <c r="H77" s="3">
        <v>58.20037557085314</v>
      </c>
      <c r="I77" s="2">
        <v>285</v>
      </c>
      <c r="J77" s="2">
        <v>65</v>
      </c>
    </row>
    <row r="78" spans="1:10" x14ac:dyDescent="0.25">
      <c r="A78" s="2">
        <v>77</v>
      </c>
      <c r="B78" s="2">
        <v>51</v>
      </c>
      <c r="C78" s="2">
        <v>175</v>
      </c>
      <c r="F78" s="3">
        <v>49</v>
      </c>
      <c r="G78" s="3">
        <v>226.90516340568655</v>
      </c>
      <c r="H78" s="3">
        <v>56.094836594313449</v>
      </c>
      <c r="I78" s="2">
        <v>283</v>
      </c>
      <c r="J78" s="2">
        <v>64</v>
      </c>
    </row>
    <row r="79" spans="1:10" x14ac:dyDescent="0.25">
      <c r="A79" s="2">
        <v>78</v>
      </c>
      <c r="B79" s="2">
        <v>35</v>
      </c>
      <c r="C79" s="2">
        <v>165</v>
      </c>
      <c r="F79" s="3">
        <v>50</v>
      </c>
      <c r="G79" s="3">
        <v>228.59378703032178</v>
      </c>
      <c r="H79" s="3">
        <v>-56.593787030321778</v>
      </c>
      <c r="I79" s="2">
        <v>172</v>
      </c>
      <c r="J79" s="2">
        <v>48</v>
      </c>
    </row>
    <row r="80" spans="1:10" x14ac:dyDescent="0.25">
      <c r="A80" s="2">
        <v>79</v>
      </c>
      <c r="B80" s="2">
        <v>33</v>
      </c>
      <c r="C80" s="2">
        <v>219</v>
      </c>
      <c r="F80" s="3">
        <v>51</v>
      </c>
      <c r="G80" s="3">
        <v>230.17687167841731</v>
      </c>
      <c r="H80" s="3">
        <v>-23.176871678417314</v>
      </c>
      <c r="I80" s="2">
        <v>207</v>
      </c>
      <c r="J80" s="2">
        <v>33</v>
      </c>
    </row>
    <row r="81" spans="1:10" x14ac:dyDescent="0.25">
      <c r="A81" s="2">
        <v>80</v>
      </c>
      <c r="B81" s="2">
        <v>40</v>
      </c>
      <c r="C81" s="2">
        <v>212</v>
      </c>
      <c r="F81" s="3">
        <v>52</v>
      </c>
      <c r="G81" s="3">
        <v>227.32731931184537</v>
      </c>
      <c r="H81" s="3">
        <v>41.672680688154628</v>
      </c>
      <c r="I81" s="2">
        <v>269</v>
      </c>
      <c r="J81" s="2">
        <v>60</v>
      </c>
    </row>
    <row r="82" spans="1:10" x14ac:dyDescent="0.25">
      <c r="A82" s="2">
        <v>81</v>
      </c>
      <c r="B82" s="2">
        <v>20</v>
      </c>
      <c r="C82" s="2">
        <v>260</v>
      </c>
      <c r="F82" s="3">
        <v>53</v>
      </c>
      <c r="G82" s="3">
        <v>231.75995632651285</v>
      </c>
      <c r="H82" s="3">
        <v>1.2400436734871505</v>
      </c>
      <c r="I82" s="2">
        <v>233</v>
      </c>
      <c r="J82" s="2">
        <v>18</v>
      </c>
    </row>
    <row r="83" spans="1:10" x14ac:dyDescent="0.25">
      <c r="A83" s="2">
        <v>82</v>
      </c>
      <c r="B83" s="2">
        <v>25</v>
      </c>
      <c r="C83" s="2">
        <v>160</v>
      </c>
      <c r="F83" s="3">
        <v>54</v>
      </c>
      <c r="G83" s="3">
        <v>232.18211223267167</v>
      </c>
      <c r="H83" s="3">
        <v>22.81788776732833</v>
      </c>
      <c r="I83" s="2">
        <v>255</v>
      </c>
      <c r="J83" s="2">
        <v>14</v>
      </c>
    </row>
    <row r="84" spans="1:10" x14ac:dyDescent="0.25">
      <c r="A84" s="2">
        <v>83</v>
      </c>
      <c r="B84" s="2">
        <v>43</v>
      </c>
      <c r="C84" s="2">
        <v>193</v>
      </c>
      <c r="F84" s="3">
        <v>55</v>
      </c>
      <c r="G84" s="3">
        <v>227.64393624146447</v>
      </c>
      <c r="H84" s="3">
        <v>-19.643936241464473</v>
      </c>
      <c r="I84" s="2">
        <v>208</v>
      </c>
      <c r="J84" s="2">
        <v>57</v>
      </c>
    </row>
    <row r="85" spans="1:10" x14ac:dyDescent="0.25">
      <c r="A85" s="2">
        <v>84</v>
      </c>
      <c r="B85" s="2">
        <v>48</v>
      </c>
      <c r="C85" s="2">
        <v>163</v>
      </c>
      <c r="F85" s="3">
        <v>56</v>
      </c>
      <c r="G85" s="3">
        <v>229.3325598660997</v>
      </c>
      <c r="H85" s="3">
        <v>-33.3325598660997</v>
      </c>
      <c r="I85" s="2">
        <v>196</v>
      </c>
      <c r="J85" s="2">
        <v>41</v>
      </c>
    </row>
    <row r="86" spans="1:10" x14ac:dyDescent="0.25">
      <c r="A86" s="2">
        <v>85</v>
      </c>
      <c r="B86" s="2">
        <v>61</v>
      </c>
      <c r="C86" s="2">
        <v>276</v>
      </c>
      <c r="F86" s="3">
        <v>57</v>
      </c>
      <c r="G86" s="3">
        <v>231.54887837343344</v>
      </c>
      <c r="H86" s="3">
        <v>20.451121626566561</v>
      </c>
      <c r="I86" s="2">
        <v>252</v>
      </c>
      <c r="J86" s="2">
        <v>20</v>
      </c>
    </row>
    <row r="87" spans="1:10" x14ac:dyDescent="0.25">
      <c r="A87" s="2">
        <v>86</v>
      </c>
      <c r="B87" s="2">
        <v>68</v>
      </c>
      <c r="C87" s="2">
        <v>288</v>
      </c>
      <c r="F87" s="3">
        <v>58</v>
      </c>
      <c r="G87" s="3">
        <v>229.9657937253379</v>
      </c>
      <c r="H87" s="3">
        <v>-61.965793725337903</v>
      </c>
      <c r="I87" s="2">
        <v>168</v>
      </c>
      <c r="J87" s="2">
        <v>35</v>
      </c>
    </row>
    <row r="88" spans="1:10" x14ac:dyDescent="0.25">
      <c r="A88" s="2">
        <v>87</v>
      </c>
      <c r="B88" s="2">
        <v>16</v>
      </c>
      <c r="C88" s="2">
        <v>262</v>
      </c>
      <c r="F88" s="3">
        <v>59</v>
      </c>
      <c r="G88" s="3">
        <v>229.3325598660997</v>
      </c>
      <c r="H88" s="3">
        <v>-75.3325598660997</v>
      </c>
      <c r="I88" s="2">
        <v>154</v>
      </c>
      <c r="J88" s="2">
        <v>41</v>
      </c>
    </row>
    <row r="89" spans="1:10" x14ac:dyDescent="0.25">
      <c r="A89" s="2">
        <v>88</v>
      </c>
      <c r="B89" s="2">
        <v>44</v>
      </c>
      <c r="C89" s="2">
        <v>195</v>
      </c>
      <c r="F89" s="3">
        <v>60</v>
      </c>
      <c r="G89" s="3">
        <v>231.86549530305254</v>
      </c>
      <c r="H89" s="3">
        <v>2.1345046969474595</v>
      </c>
      <c r="I89" s="2">
        <v>234</v>
      </c>
      <c r="J89" s="2">
        <v>17</v>
      </c>
    </row>
    <row r="90" spans="1:10" x14ac:dyDescent="0.25">
      <c r="A90" s="2">
        <v>89</v>
      </c>
      <c r="B90" s="2">
        <v>24</v>
      </c>
      <c r="C90" s="2">
        <v>225</v>
      </c>
      <c r="F90" s="3">
        <v>61</v>
      </c>
      <c r="G90" s="3">
        <v>226.79962442914686</v>
      </c>
      <c r="H90" s="3">
        <v>59.20037557085314</v>
      </c>
      <c r="I90" s="2">
        <v>286</v>
      </c>
      <c r="J90" s="2">
        <v>65</v>
      </c>
    </row>
    <row r="91" spans="1:10" x14ac:dyDescent="0.25">
      <c r="A91" s="2">
        <v>90</v>
      </c>
      <c r="B91" s="2">
        <v>56</v>
      </c>
      <c r="C91" s="2">
        <v>229</v>
      </c>
      <c r="F91" s="3">
        <v>62</v>
      </c>
      <c r="G91" s="3">
        <v>232.49872916229077</v>
      </c>
      <c r="H91" s="3">
        <v>89.501270837709228</v>
      </c>
      <c r="I91" s="2">
        <v>322</v>
      </c>
      <c r="J91" s="2">
        <v>11</v>
      </c>
    </row>
    <row r="92" spans="1:10" x14ac:dyDescent="0.25">
      <c r="A92" s="2">
        <v>91</v>
      </c>
      <c r="B92" s="2">
        <v>35</v>
      </c>
      <c r="C92" s="2">
        <v>194</v>
      </c>
      <c r="F92" s="3">
        <v>63</v>
      </c>
      <c r="G92" s="3">
        <v>228.27717010070268</v>
      </c>
      <c r="H92" s="3">
        <v>-29.277170100702676</v>
      </c>
      <c r="I92" s="2">
        <v>199</v>
      </c>
      <c r="J92" s="2">
        <v>51</v>
      </c>
    </row>
    <row r="93" spans="1:10" x14ac:dyDescent="0.25">
      <c r="A93" s="2">
        <v>92</v>
      </c>
      <c r="B93" s="2">
        <v>42</v>
      </c>
      <c r="C93" s="2">
        <v>210</v>
      </c>
      <c r="F93" s="3">
        <v>64</v>
      </c>
      <c r="G93" s="3">
        <v>229.86025474879821</v>
      </c>
      <c r="H93" s="3">
        <v>-71.860254748798212</v>
      </c>
      <c r="I93" s="2">
        <v>158</v>
      </c>
      <c r="J93" s="2">
        <v>36</v>
      </c>
    </row>
    <row r="94" spans="1:10" x14ac:dyDescent="0.25">
      <c r="A94" s="2">
        <v>93</v>
      </c>
      <c r="B94" s="2">
        <v>30</v>
      </c>
      <c r="C94" s="2">
        <v>205</v>
      </c>
      <c r="F94" s="3">
        <v>65</v>
      </c>
      <c r="G94" s="3">
        <v>231.65441734997316</v>
      </c>
      <c r="H94" s="3">
        <v>-13.654417349973158</v>
      </c>
      <c r="I94" s="2">
        <v>218</v>
      </c>
      <c r="J94" s="2">
        <v>19</v>
      </c>
    </row>
    <row r="95" spans="1:10" x14ac:dyDescent="0.25">
      <c r="A95" s="2">
        <v>94</v>
      </c>
      <c r="B95" s="2">
        <v>58</v>
      </c>
      <c r="C95" s="2">
        <v>202</v>
      </c>
      <c r="F95" s="3">
        <v>66</v>
      </c>
      <c r="G95" s="3">
        <v>228.48824805378209</v>
      </c>
      <c r="H95" s="3">
        <v>14.511751946217913</v>
      </c>
      <c r="I95" s="2">
        <v>243</v>
      </c>
      <c r="J95" s="2">
        <v>49</v>
      </c>
    </row>
    <row r="96" spans="1:10" x14ac:dyDescent="0.25">
      <c r="A96" s="2">
        <v>95</v>
      </c>
      <c r="B96" s="2">
        <v>52</v>
      </c>
      <c r="C96" s="2">
        <v>228</v>
      </c>
      <c r="F96" s="3">
        <v>67</v>
      </c>
      <c r="G96" s="3">
        <v>227.01070238222627</v>
      </c>
      <c r="H96" s="3">
        <v>43.98929761777373</v>
      </c>
      <c r="I96" s="2">
        <v>271</v>
      </c>
      <c r="J96" s="2">
        <v>63</v>
      </c>
    </row>
    <row r="97" spans="1:10" x14ac:dyDescent="0.25">
      <c r="A97" s="2">
        <v>96</v>
      </c>
      <c r="B97" s="2">
        <v>39</v>
      </c>
      <c r="C97" s="2">
        <v>181</v>
      </c>
      <c r="F97" s="3">
        <v>68</v>
      </c>
      <c r="G97" s="3">
        <v>227.11624135876596</v>
      </c>
      <c r="H97" s="3">
        <v>36.883758641234039</v>
      </c>
      <c r="I97" s="2">
        <v>264</v>
      </c>
      <c r="J97" s="2">
        <v>62</v>
      </c>
    </row>
    <row r="98" spans="1:10" x14ac:dyDescent="0.25">
      <c r="A98" s="2">
        <v>97</v>
      </c>
      <c r="B98" s="2">
        <v>43</v>
      </c>
      <c r="C98" s="2">
        <v>139</v>
      </c>
      <c r="F98" s="3">
        <v>69</v>
      </c>
      <c r="G98" s="3">
        <v>231.33780042035403</v>
      </c>
      <c r="H98" s="3">
        <v>-54.337800420354029</v>
      </c>
      <c r="I98" s="2">
        <v>177</v>
      </c>
      <c r="J98" s="2">
        <v>22</v>
      </c>
    </row>
    <row r="99" spans="1:10" x14ac:dyDescent="0.25">
      <c r="A99" s="2">
        <v>98</v>
      </c>
      <c r="B99" s="2">
        <v>17</v>
      </c>
      <c r="C99" s="2">
        <v>262</v>
      </c>
      <c r="F99" s="3">
        <v>70</v>
      </c>
      <c r="G99" s="3">
        <v>227.96055317108357</v>
      </c>
      <c r="H99" s="3">
        <v>-24.960553171083575</v>
      </c>
      <c r="I99" s="2">
        <v>203</v>
      </c>
      <c r="J99" s="2">
        <v>54</v>
      </c>
    </row>
    <row r="100" spans="1:10" x14ac:dyDescent="0.25">
      <c r="A100" s="2">
        <v>99</v>
      </c>
      <c r="B100" s="2">
        <v>62</v>
      </c>
      <c r="C100" s="2">
        <v>249</v>
      </c>
      <c r="F100" s="3">
        <v>71</v>
      </c>
      <c r="G100" s="3">
        <v>226.48300749952776</v>
      </c>
      <c r="H100" s="3">
        <v>77.516992500472242</v>
      </c>
      <c r="I100" s="2">
        <v>304</v>
      </c>
      <c r="J100" s="2">
        <v>68</v>
      </c>
    </row>
    <row r="101" spans="1:10" x14ac:dyDescent="0.25">
      <c r="A101" s="2">
        <v>100</v>
      </c>
      <c r="B101" s="2">
        <v>10</v>
      </c>
      <c r="C101" s="2">
        <v>325</v>
      </c>
      <c r="F101" s="3">
        <v>72</v>
      </c>
      <c r="G101" s="3">
        <v>227.32731931184537</v>
      </c>
      <c r="H101" s="3">
        <v>10.672680688154628</v>
      </c>
      <c r="I101" s="2">
        <v>238</v>
      </c>
      <c r="J101" s="2">
        <v>60</v>
      </c>
    </row>
    <row r="102" spans="1:10" x14ac:dyDescent="0.25">
      <c r="F102" s="3">
        <v>73</v>
      </c>
      <c r="G102" s="3">
        <v>231.54887837343344</v>
      </c>
      <c r="H102" s="3">
        <v>39.451121626566561</v>
      </c>
      <c r="I102" s="2">
        <v>271</v>
      </c>
      <c r="J102" s="2">
        <v>20</v>
      </c>
    </row>
    <row r="103" spans="1:10" x14ac:dyDescent="0.25">
      <c r="F103" s="3">
        <v>74</v>
      </c>
      <c r="G103" s="3">
        <v>232.07657325613195</v>
      </c>
      <c r="H103" s="3">
        <v>21.923426743868049</v>
      </c>
      <c r="I103" s="2">
        <v>254</v>
      </c>
      <c r="J103" s="2">
        <v>15</v>
      </c>
    </row>
    <row r="104" spans="1:10" x14ac:dyDescent="0.25">
      <c r="F104" s="3">
        <v>75</v>
      </c>
      <c r="G104" s="3">
        <v>227.64393624146447</v>
      </c>
      <c r="H104" s="3">
        <v>6.3560637585355266</v>
      </c>
      <c r="I104" s="2">
        <v>234</v>
      </c>
      <c r="J104" s="2">
        <v>57</v>
      </c>
    </row>
    <row r="105" spans="1:10" x14ac:dyDescent="0.25">
      <c r="F105" s="3">
        <v>76</v>
      </c>
      <c r="G105" s="3">
        <v>229.75471577225852</v>
      </c>
      <c r="H105" s="3">
        <v>-9.7547157722585212</v>
      </c>
      <c r="I105" s="2">
        <v>220</v>
      </c>
      <c r="J105" s="2">
        <v>37</v>
      </c>
    </row>
    <row r="106" spans="1:10" x14ac:dyDescent="0.25">
      <c r="F106" s="3">
        <v>77</v>
      </c>
      <c r="G106" s="3">
        <v>228.27717010070268</v>
      </c>
      <c r="H106" s="3">
        <v>-53.277170100702676</v>
      </c>
      <c r="I106" s="2">
        <v>175</v>
      </c>
      <c r="J106" s="2">
        <v>51</v>
      </c>
    </row>
    <row r="107" spans="1:10" x14ac:dyDescent="0.25">
      <c r="F107" s="3">
        <v>78</v>
      </c>
      <c r="G107" s="3">
        <v>229.9657937253379</v>
      </c>
      <c r="H107" s="3">
        <v>-64.965793725337903</v>
      </c>
      <c r="I107" s="2">
        <v>165</v>
      </c>
      <c r="J107" s="2">
        <v>35</v>
      </c>
    </row>
    <row r="108" spans="1:10" x14ac:dyDescent="0.25">
      <c r="F108" s="3">
        <v>79</v>
      </c>
      <c r="G108" s="3">
        <v>230.17687167841731</v>
      </c>
      <c r="H108" s="3">
        <v>-11.176871678417314</v>
      </c>
      <c r="I108" s="2">
        <v>219</v>
      </c>
      <c r="J108" s="2">
        <v>33</v>
      </c>
    </row>
    <row r="109" spans="1:10" x14ac:dyDescent="0.25">
      <c r="F109" s="3">
        <v>80</v>
      </c>
      <c r="G109" s="3">
        <v>229.43809884263942</v>
      </c>
      <c r="H109" s="3">
        <v>-17.43809884263942</v>
      </c>
      <c r="I109" s="2">
        <v>212</v>
      </c>
      <c r="J109" s="2">
        <v>40</v>
      </c>
    </row>
    <row r="110" spans="1:10" x14ac:dyDescent="0.25">
      <c r="F110" s="3">
        <v>81</v>
      </c>
      <c r="G110" s="3">
        <v>231.54887837343344</v>
      </c>
      <c r="H110" s="3">
        <v>28.451121626566561</v>
      </c>
      <c r="I110" s="2">
        <v>260</v>
      </c>
      <c r="J110" s="2">
        <v>20</v>
      </c>
    </row>
    <row r="111" spans="1:10" x14ac:dyDescent="0.25">
      <c r="F111" s="3">
        <v>82</v>
      </c>
      <c r="G111" s="3">
        <v>231.02118349073493</v>
      </c>
      <c r="H111" s="3">
        <v>-71.021183490734927</v>
      </c>
      <c r="I111" s="2">
        <v>160</v>
      </c>
      <c r="J111" s="2">
        <v>25</v>
      </c>
    </row>
    <row r="112" spans="1:10" x14ac:dyDescent="0.25">
      <c r="F112" s="3">
        <v>83</v>
      </c>
      <c r="G112" s="3">
        <v>229.12148191302029</v>
      </c>
      <c r="H112" s="3">
        <v>-36.12148191302029</v>
      </c>
      <c r="I112" s="2">
        <v>193</v>
      </c>
      <c r="J112" s="2">
        <v>43</v>
      </c>
    </row>
    <row r="113" spans="6:10" x14ac:dyDescent="0.25">
      <c r="F113" s="3">
        <v>84</v>
      </c>
      <c r="G113" s="3">
        <v>228.59378703032178</v>
      </c>
      <c r="H113" s="3">
        <v>-65.593787030321778</v>
      </c>
      <c r="I113" s="2">
        <v>163</v>
      </c>
      <c r="J113" s="2">
        <v>48</v>
      </c>
    </row>
    <row r="114" spans="6:10" x14ac:dyDescent="0.25">
      <c r="F114" s="3">
        <v>85</v>
      </c>
      <c r="G114" s="3">
        <v>227.22178033530565</v>
      </c>
      <c r="H114" s="3">
        <v>48.778219664694348</v>
      </c>
      <c r="I114" s="2">
        <v>276</v>
      </c>
      <c r="J114" s="2">
        <v>61</v>
      </c>
    </row>
    <row r="115" spans="6:10" x14ac:dyDescent="0.25">
      <c r="F115" s="3">
        <v>86</v>
      </c>
      <c r="G115" s="3">
        <v>226.48300749952776</v>
      </c>
      <c r="H115" s="3">
        <v>61.516992500472242</v>
      </c>
      <c r="I115" s="2">
        <v>288</v>
      </c>
      <c r="J115" s="2">
        <v>68</v>
      </c>
    </row>
    <row r="116" spans="6:10" x14ac:dyDescent="0.25">
      <c r="F116" s="3">
        <v>87</v>
      </c>
      <c r="G116" s="3">
        <v>231.97103427959226</v>
      </c>
      <c r="H116" s="3">
        <v>30.02896572040774</v>
      </c>
      <c r="I116" s="2">
        <v>262</v>
      </c>
      <c r="J116" s="2">
        <v>16</v>
      </c>
    </row>
    <row r="117" spans="6:10" x14ac:dyDescent="0.25">
      <c r="F117" s="3">
        <v>88</v>
      </c>
      <c r="G117" s="3">
        <v>229.0159429364806</v>
      </c>
      <c r="H117" s="3">
        <v>-34.015942936480599</v>
      </c>
      <c r="I117" s="2">
        <v>195</v>
      </c>
      <c r="J117" s="2">
        <v>44</v>
      </c>
    </row>
    <row r="118" spans="6:10" x14ac:dyDescent="0.25">
      <c r="F118" s="3">
        <v>89</v>
      </c>
      <c r="G118" s="3">
        <v>231.12672246727465</v>
      </c>
      <c r="H118" s="3">
        <v>-6.1267224672746465</v>
      </c>
      <c r="I118" s="2">
        <v>225</v>
      </c>
      <c r="J118" s="2">
        <v>24</v>
      </c>
    </row>
    <row r="119" spans="6:10" x14ac:dyDescent="0.25">
      <c r="F119" s="3">
        <v>90</v>
      </c>
      <c r="G119" s="3">
        <v>227.74947521800416</v>
      </c>
      <c r="H119" s="3">
        <v>1.2505247819958356</v>
      </c>
      <c r="I119" s="2">
        <v>229</v>
      </c>
      <c r="J119" s="2">
        <v>56</v>
      </c>
    </row>
    <row r="120" spans="6:10" x14ac:dyDescent="0.25">
      <c r="F120" s="3">
        <v>91</v>
      </c>
      <c r="G120" s="3">
        <v>229.9657937253379</v>
      </c>
      <c r="H120" s="3">
        <v>-35.965793725337903</v>
      </c>
      <c r="I120" s="2">
        <v>194</v>
      </c>
      <c r="J120" s="2">
        <v>35</v>
      </c>
    </row>
    <row r="121" spans="6:10" x14ac:dyDescent="0.25">
      <c r="F121" s="3">
        <v>92</v>
      </c>
      <c r="G121" s="3">
        <v>229.22702088956001</v>
      </c>
      <c r="H121" s="3">
        <v>-19.227020889560009</v>
      </c>
      <c r="I121" s="2">
        <v>210</v>
      </c>
      <c r="J121" s="2">
        <v>42</v>
      </c>
    </row>
    <row r="122" spans="6:10" x14ac:dyDescent="0.25">
      <c r="F122" s="3">
        <v>93</v>
      </c>
      <c r="G122" s="3">
        <v>230.49348860803642</v>
      </c>
      <c r="H122" s="3">
        <v>-25.493488608036415</v>
      </c>
      <c r="I122" s="2">
        <v>205</v>
      </c>
      <c r="J122" s="2">
        <v>30</v>
      </c>
    </row>
    <row r="123" spans="6:10" x14ac:dyDescent="0.25">
      <c r="F123" s="3">
        <v>94</v>
      </c>
      <c r="G123" s="3">
        <v>227.53839726492478</v>
      </c>
      <c r="H123" s="3">
        <v>-25.538397264924782</v>
      </c>
      <c r="I123" s="2">
        <v>202</v>
      </c>
      <c r="J123" s="2">
        <v>58</v>
      </c>
    </row>
    <row r="124" spans="6:10" x14ac:dyDescent="0.25">
      <c r="F124" s="3">
        <v>95</v>
      </c>
      <c r="G124" s="3">
        <v>228.17163112416299</v>
      </c>
      <c r="H124" s="3">
        <v>-0.17163112416298532</v>
      </c>
      <c r="I124" s="2">
        <v>228</v>
      </c>
      <c r="J124" s="2">
        <v>52</v>
      </c>
    </row>
    <row r="125" spans="6:10" x14ac:dyDescent="0.25">
      <c r="F125" s="3">
        <v>96</v>
      </c>
      <c r="G125" s="3">
        <v>229.54363781917911</v>
      </c>
      <c r="H125" s="3">
        <v>-48.543637819179111</v>
      </c>
      <c r="I125" s="2">
        <v>181</v>
      </c>
      <c r="J125" s="2">
        <v>39</v>
      </c>
    </row>
    <row r="126" spans="6:10" x14ac:dyDescent="0.25">
      <c r="F126" s="3">
        <v>97</v>
      </c>
      <c r="G126" s="3">
        <v>229.12148191302029</v>
      </c>
      <c r="H126" s="3">
        <v>-90.12148191302029</v>
      </c>
      <c r="I126" s="2">
        <v>139</v>
      </c>
      <c r="J126" s="2">
        <v>43</v>
      </c>
    </row>
    <row r="127" spans="6:10" x14ac:dyDescent="0.25">
      <c r="F127" s="3">
        <v>98</v>
      </c>
      <c r="G127" s="3">
        <v>231.86549530305254</v>
      </c>
      <c r="H127" s="3">
        <v>30.134504696947459</v>
      </c>
      <c r="I127" s="2">
        <v>262</v>
      </c>
      <c r="J127" s="2">
        <v>17</v>
      </c>
    </row>
    <row r="128" spans="6:10" x14ac:dyDescent="0.25">
      <c r="F128" s="3">
        <v>99</v>
      </c>
      <c r="G128" s="3">
        <v>227.11624135876596</v>
      </c>
      <c r="H128" s="3">
        <v>21.883758641234039</v>
      </c>
      <c r="I128" s="2">
        <v>249</v>
      </c>
      <c r="J128" s="2">
        <v>62</v>
      </c>
    </row>
    <row r="129" spans="6:10" ht="15.75" thickBot="1" x14ac:dyDescent="0.3">
      <c r="F129" s="4">
        <v>100</v>
      </c>
      <c r="G129" s="4">
        <v>232.60426813883046</v>
      </c>
      <c r="H129" s="4">
        <v>92.395731861169537</v>
      </c>
      <c r="I129" s="2">
        <v>325</v>
      </c>
      <c r="J129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workbookViewId="0">
      <selection activeCell="J1" sqref="J1:R125"/>
    </sheetView>
  </sheetViews>
  <sheetFormatPr defaultRowHeight="15" x14ac:dyDescent="0.25"/>
  <cols>
    <col min="3" max="3" width="17.7109375" customWidth="1"/>
    <col min="4" max="4" width="13.42578125" customWidth="1"/>
    <col min="7" max="7" width="15.28515625" customWidth="1"/>
  </cols>
  <sheetData>
    <row r="1" spans="1:18" ht="21" x14ac:dyDescent="0.35">
      <c r="A1" s="1" t="s">
        <v>0</v>
      </c>
      <c r="B1" s="1" t="s">
        <v>1</v>
      </c>
      <c r="C1" s="1" t="s">
        <v>62</v>
      </c>
      <c r="D1" s="1" t="s">
        <v>2</v>
      </c>
      <c r="J1" t="s">
        <v>3</v>
      </c>
    </row>
    <row r="2" spans="1:18" ht="15.75" thickBot="1" x14ac:dyDescent="0.3">
      <c r="A2" s="2">
        <v>1</v>
      </c>
      <c r="B2" s="2">
        <v>37</v>
      </c>
      <c r="C2">
        <f>B2^2</f>
        <v>1369</v>
      </c>
      <c r="D2" s="2">
        <v>195</v>
      </c>
    </row>
    <row r="3" spans="1:18" x14ac:dyDescent="0.25">
      <c r="A3" s="2">
        <v>2</v>
      </c>
      <c r="B3" s="2">
        <v>40</v>
      </c>
      <c r="C3">
        <f t="shared" ref="C3:C66" si="0">B3^2</f>
        <v>1600</v>
      </c>
      <c r="D3" s="2">
        <v>170</v>
      </c>
      <c r="J3" s="6" t="s">
        <v>4</v>
      </c>
      <c r="K3" s="6"/>
    </row>
    <row r="4" spans="1:18" x14ac:dyDescent="0.25">
      <c r="A4" s="2">
        <v>3</v>
      </c>
      <c r="B4" s="2">
        <v>58</v>
      </c>
      <c r="C4">
        <f t="shared" si="0"/>
        <v>3364</v>
      </c>
      <c r="D4" s="2">
        <v>242</v>
      </c>
      <c r="J4" s="3" t="s">
        <v>5</v>
      </c>
      <c r="K4" s="3">
        <v>0.88057467522851518</v>
      </c>
    </row>
    <row r="5" spans="1:18" x14ac:dyDescent="0.25">
      <c r="A5" s="2">
        <v>4</v>
      </c>
      <c r="B5" s="2">
        <v>16</v>
      </c>
      <c r="C5">
        <f t="shared" si="0"/>
        <v>256</v>
      </c>
      <c r="D5" s="2">
        <v>291</v>
      </c>
      <c r="J5" s="3" t="s">
        <v>6</v>
      </c>
      <c r="K5" s="3">
        <v>0.77541175865380507</v>
      </c>
    </row>
    <row r="6" spans="1:18" x14ac:dyDescent="0.25">
      <c r="A6" s="2">
        <v>5</v>
      </c>
      <c r="B6" s="2">
        <v>68</v>
      </c>
      <c r="C6">
        <f t="shared" si="0"/>
        <v>4624</v>
      </c>
      <c r="D6" s="2">
        <v>348</v>
      </c>
      <c r="J6" s="3" t="s">
        <v>7</v>
      </c>
      <c r="K6" s="3">
        <v>0.77078107326522383</v>
      </c>
    </row>
    <row r="7" spans="1:18" x14ac:dyDescent="0.25">
      <c r="A7" s="2">
        <v>6</v>
      </c>
      <c r="B7" s="2">
        <v>52</v>
      </c>
      <c r="C7">
        <f t="shared" si="0"/>
        <v>2704</v>
      </c>
      <c r="D7" s="2">
        <v>198</v>
      </c>
      <c r="J7" s="3" t="s">
        <v>8</v>
      </c>
      <c r="K7" s="3">
        <v>23.995068377294768</v>
      </c>
    </row>
    <row r="8" spans="1:18" ht="15.75" thickBot="1" x14ac:dyDescent="0.3">
      <c r="A8" s="2">
        <v>7</v>
      </c>
      <c r="B8" s="2">
        <v>23</v>
      </c>
      <c r="C8">
        <f t="shared" si="0"/>
        <v>529</v>
      </c>
      <c r="D8" s="2">
        <v>200</v>
      </c>
      <c r="J8" s="4" t="s">
        <v>9</v>
      </c>
      <c r="K8" s="4">
        <v>100</v>
      </c>
    </row>
    <row r="9" spans="1:18" x14ac:dyDescent="0.25">
      <c r="A9" s="2">
        <v>8</v>
      </c>
      <c r="B9" s="2">
        <v>16</v>
      </c>
      <c r="C9">
        <f t="shared" si="0"/>
        <v>256</v>
      </c>
      <c r="D9" s="2">
        <v>286</v>
      </c>
    </row>
    <row r="10" spans="1:18" ht="15.75" thickBot="1" x14ac:dyDescent="0.3">
      <c r="A10" s="2">
        <v>9</v>
      </c>
      <c r="B10" s="2">
        <v>48</v>
      </c>
      <c r="C10">
        <f t="shared" si="0"/>
        <v>2304</v>
      </c>
      <c r="D10" s="2">
        <v>198</v>
      </c>
      <c r="J10" t="s">
        <v>10</v>
      </c>
    </row>
    <row r="11" spans="1:18" x14ac:dyDescent="0.25">
      <c r="A11" s="2">
        <v>10</v>
      </c>
      <c r="B11" s="2">
        <v>59</v>
      </c>
      <c r="C11">
        <f t="shared" si="0"/>
        <v>3481</v>
      </c>
      <c r="D11" s="2">
        <v>217</v>
      </c>
      <c r="J11" s="5"/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8" x14ac:dyDescent="0.25">
      <c r="A12" s="2">
        <v>11</v>
      </c>
      <c r="B12" s="2">
        <v>53</v>
      </c>
      <c r="C12">
        <f t="shared" si="0"/>
        <v>2809</v>
      </c>
      <c r="D12" s="2">
        <v>210</v>
      </c>
      <c r="J12" s="3" t="s">
        <v>11</v>
      </c>
      <c r="K12" s="3">
        <v>2</v>
      </c>
      <c r="L12" s="3">
        <v>192823.999276188</v>
      </c>
      <c r="M12" s="3">
        <v>96411.999638093999</v>
      </c>
      <c r="N12" s="3">
        <v>167.45075374065974</v>
      </c>
      <c r="O12" s="3">
        <v>3.4855410153578689E-32</v>
      </c>
    </row>
    <row r="13" spans="1:18" x14ac:dyDescent="0.25">
      <c r="A13" s="2">
        <v>12</v>
      </c>
      <c r="B13" s="2">
        <v>66</v>
      </c>
      <c r="C13">
        <f t="shared" si="0"/>
        <v>4356</v>
      </c>
      <c r="D13" s="2">
        <v>292</v>
      </c>
      <c r="J13" s="3" t="s">
        <v>12</v>
      </c>
      <c r="K13" s="3">
        <v>97</v>
      </c>
      <c r="L13" s="3">
        <v>55849.040723811988</v>
      </c>
      <c r="M13" s="3">
        <v>575.76330643105143</v>
      </c>
      <c r="N13" s="3"/>
      <c r="O13" s="3"/>
    </row>
    <row r="14" spans="1:18" ht="15.75" thickBot="1" x14ac:dyDescent="0.3">
      <c r="A14" s="2">
        <v>13</v>
      </c>
      <c r="B14" s="2">
        <v>43</v>
      </c>
      <c r="C14">
        <f t="shared" si="0"/>
        <v>1849</v>
      </c>
      <c r="D14" s="2">
        <v>176</v>
      </c>
      <c r="J14" s="4" t="s">
        <v>13</v>
      </c>
      <c r="K14" s="4">
        <v>99</v>
      </c>
      <c r="L14" s="4">
        <v>248673.03999999998</v>
      </c>
      <c r="M14" s="4"/>
      <c r="N14" s="4"/>
      <c r="O14" s="4"/>
    </row>
    <row r="15" spans="1:18" ht="15.75" thickBot="1" x14ac:dyDescent="0.3">
      <c r="A15" s="2">
        <v>14</v>
      </c>
      <c r="B15" s="2">
        <v>15</v>
      </c>
      <c r="C15">
        <f t="shared" si="0"/>
        <v>225</v>
      </c>
      <c r="D15" s="2">
        <v>325</v>
      </c>
    </row>
    <row r="16" spans="1:18" x14ac:dyDescent="0.25">
      <c r="A16" s="2">
        <v>15</v>
      </c>
      <c r="B16" s="2">
        <v>24</v>
      </c>
      <c r="C16">
        <f t="shared" si="0"/>
        <v>576</v>
      </c>
      <c r="D16" s="2">
        <v>205</v>
      </c>
      <c r="J16" s="5"/>
      <c r="K16" s="5" t="s">
        <v>20</v>
      </c>
      <c r="L16" s="5" t="s">
        <v>8</v>
      </c>
      <c r="M16" s="5" t="s">
        <v>21</v>
      </c>
      <c r="N16" s="5" t="s">
        <v>22</v>
      </c>
      <c r="O16" s="5" t="s">
        <v>23</v>
      </c>
      <c r="P16" s="5" t="s">
        <v>24</v>
      </c>
      <c r="Q16" s="5" t="s">
        <v>65</v>
      </c>
      <c r="R16" s="5" t="s">
        <v>66</v>
      </c>
    </row>
    <row r="17" spans="1:18" x14ac:dyDescent="0.25">
      <c r="A17" s="2">
        <v>16</v>
      </c>
      <c r="B17" s="2">
        <v>48</v>
      </c>
      <c r="C17">
        <f t="shared" si="0"/>
        <v>2304</v>
      </c>
      <c r="D17" s="2">
        <v>192</v>
      </c>
      <c r="J17" s="3" t="s">
        <v>14</v>
      </c>
      <c r="K17" s="3">
        <v>451.39064354305839</v>
      </c>
      <c r="L17" s="3">
        <v>13.38358520474994</v>
      </c>
      <c r="M17" s="3">
        <v>33.727184206430451</v>
      </c>
      <c r="N17" s="3">
        <v>2.2159017198761894E-55</v>
      </c>
      <c r="O17" s="3">
        <v>424.82793233928049</v>
      </c>
      <c r="P17" s="3">
        <v>477.95335474683628</v>
      </c>
      <c r="Q17" s="3">
        <v>424.82793233928049</v>
      </c>
      <c r="R17" s="3">
        <v>477.95335474683628</v>
      </c>
    </row>
    <row r="18" spans="1:18" x14ac:dyDescent="0.25">
      <c r="A18" s="2">
        <v>17</v>
      </c>
      <c r="B18" s="2">
        <v>54</v>
      </c>
      <c r="C18">
        <f t="shared" si="0"/>
        <v>2916</v>
      </c>
      <c r="D18" s="2">
        <v>205</v>
      </c>
      <c r="J18" s="3" t="s">
        <v>1</v>
      </c>
      <c r="K18" s="3">
        <v>-13.763563671454687</v>
      </c>
      <c r="L18" s="3">
        <v>0.7596022284571331</v>
      </c>
      <c r="M18" s="3">
        <v>-18.119435614888289</v>
      </c>
      <c r="N18" s="3">
        <v>6.7355118036740396E-33</v>
      </c>
      <c r="O18" s="3">
        <v>-15.271163788730583</v>
      </c>
      <c r="P18" s="3">
        <v>-12.255963554178791</v>
      </c>
      <c r="Q18" s="3">
        <v>-15.271163788730583</v>
      </c>
      <c r="R18" s="3">
        <v>-12.255963554178791</v>
      </c>
    </row>
    <row r="19" spans="1:18" ht="15.75" thickBot="1" x14ac:dyDescent="0.3">
      <c r="A19" s="2">
        <v>18</v>
      </c>
      <c r="B19" s="2">
        <v>59</v>
      </c>
      <c r="C19">
        <f t="shared" si="0"/>
        <v>3481</v>
      </c>
      <c r="D19" s="2">
        <v>218</v>
      </c>
      <c r="J19" s="4" t="s">
        <v>62</v>
      </c>
      <c r="K19" s="4">
        <v>0.17258091067290637</v>
      </c>
      <c r="L19" s="4">
        <v>9.4387470065416795E-3</v>
      </c>
      <c r="M19" s="4">
        <v>18.284303049260281</v>
      </c>
      <c r="N19" s="4">
        <v>3.4068038000782689E-33</v>
      </c>
      <c r="O19" s="4">
        <v>0.15384761111044626</v>
      </c>
      <c r="P19" s="4">
        <v>0.19131421023536649</v>
      </c>
      <c r="Q19" s="4">
        <v>0.15384761111044626</v>
      </c>
      <c r="R19" s="4">
        <v>0.19131421023536649</v>
      </c>
    </row>
    <row r="20" spans="1:18" x14ac:dyDescent="0.25">
      <c r="A20" s="2">
        <v>19</v>
      </c>
      <c r="B20" s="2">
        <v>59</v>
      </c>
      <c r="C20">
        <f t="shared" si="0"/>
        <v>3481</v>
      </c>
      <c r="D20" s="2">
        <v>224</v>
      </c>
    </row>
    <row r="21" spans="1:18" x14ac:dyDescent="0.25">
      <c r="A21" s="2">
        <v>20</v>
      </c>
      <c r="B21" s="2">
        <v>40</v>
      </c>
      <c r="C21">
        <f t="shared" si="0"/>
        <v>1600</v>
      </c>
      <c r="D21" s="2">
        <v>149</v>
      </c>
    </row>
    <row r="22" spans="1:18" x14ac:dyDescent="0.25">
      <c r="A22" s="2">
        <v>21</v>
      </c>
      <c r="B22" s="2">
        <v>65</v>
      </c>
      <c r="C22">
        <f t="shared" si="0"/>
        <v>4225</v>
      </c>
      <c r="D22" s="2">
        <v>274</v>
      </c>
    </row>
    <row r="23" spans="1:18" x14ac:dyDescent="0.25">
      <c r="A23" s="2">
        <v>22</v>
      </c>
      <c r="B23" s="2">
        <v>48</v>
      </c>
      <c r="C23">
        <f t="shared" si="0"/>
        <v>2304</v>
      </c>
      <c r="D23" s="2">
        <v>205</v>
      </c>
      <c r="J23" t="s">
        <v>27</v>
      </c>
    </row>
    <row r="24" spans="1:18" ht="15.75" thickBot="1" x14ac:dyDescent="0.3">
      <c r="A24" s="2">
        <v>23</v>
      </c>
      <c r="B24" s="2">
        <v>36</v>
      </c>
      <c r="C24">
        <f t="shared" si="0"/>
        <v>1296</v>
      </c>
      <c r="D24" s="2">
        <v>157</v>
      </c>
    </row>
    <row r="25" spans="1:18" x14ac:dyDescent="0.25">
      <c r="A25" s="2">
        <v>24</v>
      </c>
      <c r="B25" s="2">
        <v>53</v>
      </c>
      <c r="C25">
        <f t="shared" si="0"/>
        <v>2809</v>
      </c>
      <c r="D25" s="2">
        <v>183</v>
      </c>
      <c r="J25" s="5" t="s">
        <v>28</v>
      </c>
      <c r="K25" s="5" t="s">
        <v>29</v>
      </c>
      <c r="L25" s="5" t="s">
        <v>30</v>
      </c>
    </row>
    <row r="26" spans="1:18" x14ac:dyDescent="0.25">
      <c r="A26" s="2">
        <v>25</v>
      </c>
      <c r="B26" s="2">
        <v>68</v>
      </c>
      <c r="C26">
        <f t="shared" si="0"/>
        <v>4624</v>
      </c>
      <c r="D26" s="2">
        <v>337</v>
      </c>
      <c r="J26" s="3">
        <v>1</v>
      </c>
      <c r="K26" s="3">
        <v>178.40205441044378</v>
      </c>
      <c r="L26" s="3">
        <v>16.597945589556218</v>
      </c>
    </row>
    <row r="27" spans="1:18" x14ac:dyDescent="0.25">
      <c r="A27" s="2">
        <v>26</v>
      </c>
      <c r="B27" s="2">
        <v>44</v>
      </c>
      <c r="C27">
        <f t="shared" si="0"/>
        <v>1936</v>
      </c>
      <c r="D27" s="2">
        <v>181</v>
      </c>
      <c r="J27" s="3">
        <v>2</v>
      </c>
      <c r="K27" s="3">
        <v>176.97755376152105</v>
      </c>
      <c r="L27" s="3">
        <v>-6.977553761521051</v>
      </c>
    </row>
    <row r="28" spans="1:18" x14ac:dyDescent="0.25">
      <c r="A28" s="2">
        <v>27</v>
      </c>
      <c r="B28" s="2">
        <v>54</v>
      </c>
      <c r="C28">
        <f t="shared" si="0"/>
        <v>2916</v>
      </c>
      <c r="D28" s="2">
        <v>187</v>
      </c>
      <c r="J28" s="3">
        <v>3</v>
      </c>
      <c r="K28" s="3">
        <v>233.66613410234362</v>
      </c>
      <c r="L28" s="3">
        <v>8.3338658976563806</v>
      </c>
    </row>
    <row r="29" spans="1:18" x14ac:dyDescent="0.25">
      <c r="A29" s="2">
        <v>28</v>
      </c>
      <c r="B29" s="2">
        <v>17</v>
      </c>
      <c r="C29">
        <f t="shared" si="0"/>
        <v>289</v>
      </c>
      <c r="D29" s="2">
        <v>238</v>
      </c>
      <c r="J29" s="3">
        <v>4</v>
      </c>
      <c r="K29" s="3">
        <v>275.35433793204743</v>
      </c>
      <c r="L29" s="3">
        <v>15.645662067952571</v>
      </c>
    </row>
    <row r="30" spans="1:18" x14ac:dyDescent="0.25">
      <c r="A30" s="2">
        <v>29</v>
      </c>
      <c r="B30" s="2">
        <v>35</v>
      </c>
      <c r="C30">
        <f t="shared" si="0"/>
        <v>1225</v>
      </c>
      <c r="D30" s="2">
        <v>161</v>
      </c>
      <c r="J30" s="3">
        <v>5</v>
      </c>
      <c r="K30" s="3">
        <v>313.48244483565878</v>
      </c>
      <c r="L30" s="3">
        <v>34.517555164341218</v>
      </c>
    </row>
    <row r="31" spans="1:18" x14ac:dyDescent="0.25">
      <c r="A31" s="2">
        <v>30</v>
      </c>
      <c r="B31" s="2">
        <v>21</v>
      </c>
      <c r="C31">
        <f t="shared" si="0"/>
        <v>441</v>
      </c>
      <c r="D31" s="2">
        <v>252</v>
      </c>
      <c r="J31" s="3">
        <v>6</v>
      </c>
      <c r="K31" s="3">
        <v>202.34411508695348</v>
      </c>
      <c r="L31" s="3">
        <v>-4.3441150869534795</v>
      </c>
    </row>
    <row r="32" spans="1:18" x14ac:dyDescent="0.25">
      <c r="A32" s="2">
        <v>31</v>
      </c>
      <c r="B32" s="2">
        <v>34</v>
      </c>
      <c r="C32">
        <f t="shared" si="0"/>
        <v>1156</v>
      </c>
      <c r="D32" s="2">
        <v>194</v>
      </c>
      <c r="J32" s="3">
        <v>7</v>
      </c>
      <c r="K32" s="3">
        <v>226.1239808455681</v>
      </c>
      <c r="L32" s="3">
        <v>-26.123980845568099</v>
      </c>
    </row>
    <row r="33" spans="1:12" x14ac:dyDescent="0.25">
      <c r="A33" s="2">
        <v>32</v>
      </c>
      <c r="B33" s="2">
        <v>58</v>
      </c>
      <c r="C33">
        <f t="shared" si="0"/>
        <v>3364</v>
      </c>
      <c r="D33" s="2">
        <v>273</v>
      </c>
      <c r="J33" s="3">
        <v>8</v>
      </c>
      <c r="K33" s="3">
        <v>275.35433793204743</v>
      </c>
      <c r="L33" s="3">
        <v>10.645662067952571</v>
      </c>
    </row>
    <row r="34" spans="1:12" x14ac:dyDescent="0.25">
      <c r="A34" s="2">
        <v>33</v>
      </c>
      <c r="B34" s="2">
        <v>20</v>
      </c>
      <c r="C34">
        <f t="shared" si="0"/>
        <v>400</v>
      </c>
      <c r="D34" s="2">
        <v>303</v>
      </c>
      <c r="J34" s="3">
        <v>9</v>
      </c>
      <c r="K34" s="3">
        <v>188.36600550360976</v>
      </c>
      <c r="L34" s="3">
        <v>9.633994496390244</v>
      </c>
    </row>
    <row r="35" spans="1:12" x14ac:dyDescent="0.25">
      <c r="A35" s="2">
        <v>34</v>
      </c>
      <c r="B35" s="2">
        <v>13</v>
      </c>
      <c r="C35">
        <f t="shared" si="0"/>
        <v>169</v>
      </c>
      <c r="D35" s="2">
        <v>314</v>
      </c>
      <c r="J35" s="3">
        <v>10</v>
      </c>
      <c r="K35" s="3">
        <v>240.09453697961891</v>
      </c>
      <c r="L35" s="3">
        <v>-23.094536979618908</v>
      </c>
    </row>
    <row r="36" spans="1:12" x14ac:dyDescent="0.25">
      <c r="A36" s="2">
        <v>35</v>
      </c>
      <c r="B36" s="2">
        <v>45</v>
      </c>
      <c r="C36">
        <f t="shared" si="0"/>
        <v>2025</v>
      </c>
      <c r="D36" s="2">
        <v>168</v>
      </c>
      <c r="J36" s="3">
        <v>11</v>
      </c>
      <c r="K36" s="3">
        <v>206.70154703615395</v>
      </c>
      <c r="L36" s="3">
        <v>3.2984529638460458</v>
      </c>
    </row>
    <row r="37" spans="1:12" x14ac:dyDescent="0.25">
      <c r="A37" s="2">
        <v>36</v>
      </c>
      <c r="B37" s="2">
        <v>52</v>
      </c>
      <c r="C37">
        <f t="shared" si="0"/>
        <v>2704</v>
      </c>
      <c r="D37" s="2">
        <v>159</v>
      </c>
      <c r="J37" s="3">
        <v>12</v>
      </c>
      <c r="K37" s="3">
        <v>294.75788811822923</v>
      </c>
      <c r="L37" s="3">
        <v>-2.7578881182292321</v>
      </c>
    </row>
    <row r="38" spans="1:12" x14ac:dyDescent="0.25">
      <c r="A38" s="2">
        <v>37</v>
      </c>
      <c r="B38" s="2">
        <v>69</v>
      </c>
      <c r="C38">
        <f t="shared" si="0"/>
        <v>4761</v>
      </c>
      <c r="D38" s="2">
        <v>355</v>
      </c>
      <c r="J38" s="3">
        <v>13</v>
      </c>
      <c r="K38" s="3">
        <v>178.65950950471074</v>
      </c>
      <c r="L38" s="3">
        <v>-2.6595095047107407</v>
      </c>
    </row>
    <row r="39" spans="1:12" x14ac:dyDescent="0.25">
      <c r="A39" s="2">
        <v>38</v>
      </c>
      <c r="B39" s="2">
        <v>14</v>
      </c>
      <c r="C39">
        <f t="shared" si="0"/>
        <v>196</v>
      </c>
      <c r="D39" s="2">
        <v>307</v>
      </c>
      <c r="J39" s="3">
        <v>14</v>
      </c>
      <c r="K39" s="3">
        <v>283.76789337264199</v>
      </c>
      <c r="L39" s="3">
        <v>41.232106627358007</v>
      </c>
    </row>
    <row r="40" spans="1:12" x14ac:dyDescent="0.25">
      <c r="A40" s="2">
        <v>39</v>
      </c>
      <c r="B40" s="2">
        <v>14</v>
      </c>
      <c r="C40">
        <f t="shared" si="0"/>
        <v>196</v>
      </c>
      <c r="D40" s="2">
        <v>297</v>
      </c>
      <c r="J40" s="3">
        <v>15</v>
      </c>
      <c r="K40" s="3">
        <v>220.47171997574</v>
      </c>
      <c r="L40" s="3">
        <v>-15.471719975740001</v>
      </c>
    </row>
    <row r="41" spans="1:12" x14ac:dyDescent="0.25">
      <c r="A41" s="2">
        <v>40</v>
      </c>
      <c r="B41" s="2">
        <v>26</v>
      </c>
      <c r="C41">
        <f t="shared" si="0"/>
        <v>676</v>
      </c>
      <c r="D41" s="2">
        <v>212</v>
      </c>
      <c r="J41" s="3">
        <v>16</v>
      </c>
      <c r="K41" s="3">
        <v>188.36600550360976</v>
      </c>
      <c r="L41" s="3">
        <v>3.633994496390244</v>
      </c>
    </row>
    <row r="42" spans="1:12" x14ac:dyDescent="0.25">
      <c r="A42" s="2">
        <v>41</v>
      </c>
      <c r="B42" s="2">
        <v>52</v>
      </c>
      <c r="C42">
        <f t="shared" si="0"/>
        <v>2704</v>
      </c>
      <c r="D42" s="2">
        <v>233</v>
      </c>
      <c r="J42" s="3">
        <v>17</v>
      </c>
      <c r="K42" s="3">
        <v>211.4041408067003</v>
      </c>
      <c r="L42" s="3">
        <v>-6.4041408067002976</v>
      </c>
    </row>
    <row r="43" spans="1:12" x14ac:dyDescent="0.25">
      <c r="A43" s="2">
        <v>42</v>
      </c>
      <c r="B43" s="2">
        <v>53</v>
      </c>
      <c r="C43">
        <f t="shared" si="0"/>
        <v>2809</v>
      </c>
      <c r="D43" s="2">
        <v>207</v>
      </c>
      <c r="J43" s="3">
        <v>18</v>
      </c>
      <c r="K43" s="3">
        <v>240.09453697961891</v>
      </c>
      <c r="L43" s="3">
        <v>-22.094536979618908</v>
      </c>
    </row>
    <row r="44" spans="1:12" x14ac:dyDescent="0.25">
      <c r="A44" s="2">
        <v>43</v>
      </c>
      <c r="B44" s="2">
        <v>56</v>
      </c>
      <c r="C44">
        <f t="shared" si="0"/>
        <v>3136</v>
      </c>
      <c r="D44" s="2">
        <v>193</v>
      </c>
      <c r="J44" s="3">
        <v>19</v>
      </c>
      <c r="K44" s="3">
        <v>240.09453697961891</v>
      </c>
      <c r="L44" s="3">
        <v>-16.094536979618908</v>
      </c>
    </row>
    <row r="45" spans="1:12" x14ac:dyDescent="0.25">
      <c r="A45" s="2">
        <v>44</v>
      </c>
      <c r="B45" s="2">
        <v>26</v>
      </c>
      <c r="C45">
        <f t="shared" si="0"/>
        <v>676</v>
      </c>
      <c r="D45" s="2">
        <v>225</v>
      </c>
      <c r="J45" s="3">
        <v>20</v>
      </c>
      <c r="K45" s="3">
        <v>176.97755376152105</v>
      </c>
      <c r="L45" s="3">
        <v>-27.977553761521051</v>
      </c>
    </row>
    <row r="46" spans="1:12" x14ac:dyDescent="0.25">
      <c r="A46" s="2">
        <v>45</v>
      </c>
      <c r="B46" s="2">
        <v>23</v>
      </c>
      <c r="C46">
        <f t="shared" si="0"/>
        <v>529</v>
      </c>
      <c r="D46" s="2">
        <v>263</v>
      </c>
      <c r="J46" s="3">
        <v>21</v>
      </c>
      <c r="K46" s="3">
        <v>285.9133524915332</v>
      </c>
      <c r="L46" s="3">
        <v>-11.913352491533203</v>
      </c>
    </row>
    <row r="47" spans="1:12" x14ac:dyDescent="0.25">
      <c r="A47" s="2">
        <v>46</v>
      </c>
      <c r="B47" s="2">
        <v>23</v>
      </c>
      <c r="C47">
        <f t="shared" si="0"/>
        <v>529</v>
      </c>
      <c r="D47" s="2">
        <v>268</v>
      </c>
      <c r="J47" s="3">
        <v>22</v>
      </c>
      <c r="K47" s="3">
        <v>188.36600550360976</v>
      </c>
      <c r="L47" s="3">
        <v>16.633994496390244</v>
      </c>
    </row>
    <row r="48" spans="1:12" x14ac:dyDescent="0.25">
      <c r="A48" s="2">
        <v>47</v>
      </c>
      <c r="B48" s="2">
        <v>23</v>
      </c>
      <c r="C48">
        <f t="shared" si="0"/>
        <v>529</v>
      </c>
      <c r="D48" s="2">
        <v>254</v>
      </c>
      <c r="J48" s="3">
        <v>23</v>
      </c>
      <c r="K48" s="3">
        <v>179.5672116027763</v>
      </c>
      <c r="L48" s="3">
        <v>-22.567211602776297</v>
      </c>
    </row>
    <row r="49" spans="1:12" x14ac:dyDescent="0.25">
      <c r="A49" s="2">
        <v>48</v>
      </c>
      <c r="B49" s="2">
        <v>65</v>
      </c>
      <c r="C49">
        <f t="shared" si="0"/>
        <v>4225</v>
      </c>
      <c r="D49" s="2">
        <v>285</v>
      </c>
      <c r="J49" s="3">
        <v>24</v>
      </c>
      <c r="K49" s="3">
        <v>206.70154703615395</v>
      </c>
      <c r="L49" s="3">
        <v>-23.701547036153954</v>
      </c>
    </row>
    <row r="50" spans="1:12" x14ac:dyDescent="0.25">
      <c r="A50" s="2">
        <v>49</v>
      </c>
      <c r="B50" s="2">
        <v>64</v>
      </c>
      <c r="C50">
        <f t="shared" si="0"/>
        <v>4096</v>
      </c>
      <c r="D50" s="2">
        <v>283</v>
      </c>
      <c r="J50" s="3">
        <v>25</v>
      </c>
      <c r="K50" s="3">
        <v>313.48244483565878</v>
      </c>
      <c r="L50" s="3">
        <v>23.517555164341218</v>
      </c>
    </row>
    <row r="51" spans="1:12" x14ac:dyDescent="0.25">
      <c r="A51" s="2">
        <v>50</v>
      </c>
      <c r="B51" s="2">
        <v>48</v>
      </c>
      <c r="C51">
        <f t="shared" si="0"/>
        <v>2304</v>
      </c>
      <c r="D51" s="2">
        <v>172</v>
      </c>
      <c r="J51" s="3">
        <v>26</v>
      </c>
      <c r="K51" s="3">
        <v>179.91048506179891</v>
      </c>
      <c r="L51" s="3">
        <v>1.0895149382010914</v>
      </c>
    </row>
    <row r="52" spans="1:12" x14ac:dyDescent="0.25">
      <c r="A52" s="2">
        <v>51</v>
      </c>
      <c r="B52" s="2">
        <v>33</v>
      </c>
      <c r="C52">
        <f t="shared" si="0"/>
        <v>1089</v>
      </c>
      <c r="D52" s="2">
        <v>207</v>
      </c>
      <c r="J52" s="3">
        <v>27</v>
      </c>
      <c r="K52" s="3">
        <v>211.4041408067003</v>
      </c>
      <c r="L52" s="3">
        <v>-24.404140806700298</v>
      </c>
    </row>
    <row r="53" spans="1:12" x14ac:dyDescent="0.25">
      <c r="A53" s="2">
        <v>52</v>
      </c>
      <c r="B53" s="2">
        <v>60</v>
      </c>
      <c r="C53">
        <f t="shared" si="0"/>
        <v>3600</v>
      </c>
      <c r="D53" s="2">
        <v>269</v>
      </c>
      <c r="J53" s="3">
        <v>28</v>
      </c>
      <c r="K53" s="3">
        <v>267.28594431279868</v>
      </c>
      <c r="L53" s="3">
        <v>-29.285944312798676</v>
      </c>
    </row>
    <row r="54" spans="1:12" x14ac:dyDescent="0.25">
      <c r="A54" s="2">
        <v>53</v>
      </c>
      <c r="B54" s="2">
        <v>18</v>
      </c>
      <c r="C54">
        <f t="shared" si="0"/>
        <v>324</v>
      </c>
      <c r="D54" s="2">
        <v>233</v>
      </c>
      <c r="J54" s="3">
        <v>29</v>
      </c>
      <c r="K54" s="3">
        <v>181.07753061645462</v>
      </c>
      <c r="L54" s="3">
        <v>-20.077530616454624</v>
      </c>
    </row>
    <row r="55" spans="1:12" x14ac:dyDescent="0.25">
      <c r="A55" s="2">
        <v>54</v>
      </c>
      <c r="B55" s="2">
        <v>14</v>
      </c>
      <c r="C55">
        <f t="shared" si="0"/>
        <v>196</v>
      </c>
      <c r="D55" s="2">
        <v>255</v>
      </c>
      <c r="J55" s="3">
        <v>30</v>
      </c>
      <c r="K55" s="3">
        <v>238.46398804926167</v>
      </c>
      <c r="L55" s="3">
        <v>13.536011950738327</v>
      </c>
    </row>
    <row r="56" spans="1:12" x14ac:dyDescent="0.25">
      <c r="A56" s="2">
        <v>55</v>
      </c>
      <c r="B56" s="2">
        <v>57</v>
      </c>
      <c r="C56">
        <f t="shared" si="0"/>
        <v>3249</v>
      </c>
      <c r="D56" s="2">
        <v>208</v>
      </c>
      <c r="J56" s="3">
        <v>31</v>
      </c>
      <c r="K56" s="3">
        <v>182.93301145147882</v>
      </c>
      <c r="L56" s="3">
        <v>11.066988548521181</v>
      </c>
    </row>
    <row r="57" spans="1:12" x14ac:dyDescent="0.25">
      <c r="A57" s="2">
        <v>56</v>
      </c>
      <c r="B57" s="2">
        <v>41</v>
      </c>
      <c r="C57">
        <f t="shared" si="0"/>
        <v>1681</v>
      </c>
      <c r="D57" s="2">
        <v>196</v>
      </c>
      <c r="J57" s="3">
        <v>32</v>
      </c>
      <c r="K57" s="3">
        <v>233.66613410234362</v>
      </c>
      <c r="L57" s="3">
        <v>39.333865897656381</v>
      </c>
    </row>
    <row r="58" spans="1:12" x14ac:dyDescent="0.25">
      <c r="A58" s="2">
        <v>57</v>
      </c>
      <c r="B58" s="2">
        <v>20</v>
      </c>
      <c r="C58">
        <f t="shared" si="0"/>
        <v>400</v>
      </c>
      <c r="D58" s="2">
        <v>252</v>
      </c>
      <c r="J58" s="3">
        <v>33</v>
      </c>
      <c r="K58" s="3">
        <v>245.15173438312718</v>
      </c>
      <c r="L58" s="3">
        <v>57.848265616872823</v>
      </c>
    </row>
    <row r="59" spans="1:12" x14ac:dyDescent="0.25">
      <c r="A59" s="2">
        <v>58</v>
      </c>
      <c r="B59" s="2">
        <v>35</v>
      </c>
      <c r="C59">
        <f t="shared" si="0"/>
        <v>1225</v>
      </c>
      <c r="D59" s="2">
        <v>168</v>
      </c>
      <c r="J59" s="3">
        <v>34</v>
      </c>
      <c r="K59" s="3">
        <v>301.63048971786861</v>
      </c>
      <c r="L59" s="3">
        <v>12.369510282131387</v>
      </c>
    </row>
    <row r="60" spans="1:12" x14ac:dyDescent="0.25">
      <c r="A60" s="2">
        <v>59</v>
      </c>
      <c r="B60" s="2">
        <v>41</v>
      </c>
      <c r="C60">
        <f t="shared" si="0"/>
        <v>1681</v>
      </c>
      <c r="D60" s="2">
        <v>154</v>
      </c>
      <c r="J60" s="3">
        <v>35</v>
      </c>
      <c r="K60" s="3">
        <v>181.50662244023289</v>
      </c>
      <c r="L60" s="3">
        <v>-13.506622440232888</v>
      </c>
    </row>
    <row r="61" spans="1:12" x14ac:dyDescent="0.25">
      <c r="A61" s="2">
        <v>60</v>
      </c>
      <c r="B61" s="2">
        <v>17</v>
      </c>
      <c r="C61">
        <f t="shared" si="0"/>
        <v>289</v>
      </c>
      <c r="D61" s="2">
        <v>234</v>
      </c>
      <c r="J61" s="3">
        <v>36</v>
      </c>
      <c r="K61" s="3">
        <v>202.34411508695348</v>
      </c>
      <c r="L61" s="3">
        <v>-43.344115086953479</v>
      </c>
    </row>
    <row r="62" spans="1:12" x14ac:dyDescent="0.25">
      <c r="A62" s="2">
        <v>61</v>
      </c>
      <c r="B62" s="2">
        <v>65</v>
      </c>
      <c r="C62">
        <f t="shared" si="0"/>
        <v>4225</v>
      </c>
      <c r="D62" s="2">
        <v>286</v>
      </c>
      <c r="J62" s="3">
        <v>37</v>
      </c>
      <c r="K62" s="3">
        <v>323.3624659263923</v>
      </c>
      <c r="L62" s="3">
        <v>31.637534073607696</v>
      </c>
    </row>
    <row r="63" spans="1:12" x14ac:dyDescent="0.25">
      <c r="A63" s="2">
        <v>62</v>
      </c>
      <c r="B63" s="2">
        <v>11</v>
      </c>
      <c r="C63">
        <f t="shared" si="0"/>
        <v>121</v>
      </c>
      <c r="D63" s="2">
        <v>322</v>
      </c>
      <c r="J63" s="3">
        <v>38</v>
      </c>
      <c r="K63" s="3">
        <v>292.52661063458243</v>
      </c>
      <c r="L63" s="3">
        <v>14.473389365417574</v>
      </c>
    </row>
    <row r="64" spans="1:12" x14ac:dyDescent="0.25">
      <c r="A64" s="2">
        <v>63</v>
      </c>
      <c r="B64" s="2">
        <v>51</v>
      </c>
      <c r="C64">
        <f t="shared" si="0"/>
        <v>2601</v>
      </c>
      <c r="D64" s="2">
        <v>199</v>
      </c>
      <c r="J64" s="3">
        <v>39</v>
      </c>
      <c r="K64" s="3">
        <v>292.52661063458243</v>
      </c>
      <c r="L64" s="3">
        <v>4.4733893654175745</v>
      </c>
    </row>
    <row r="65" spans="1:12" x14ac:dyDescent="0.25">
      <c r="A65" s="2">
        <v>64</v>
      </c>
      <c r="B65" s="2">
        <v>36</v>
      </c>
      <c r="C65">
        <f t="shared" si="0"/>
        <v>1296</v>
      </c>
      <c r="D65" s="2">
        <v>158</v>
      </c>
      <c r="J65" s="3">
        <v>40</v>
      </c>
      <c r="K65" s="3">
        <v>210.20268370012121</v>
      </c>
      <c r="L65" s="3">
        <v>1.797316299878787</v>
      </c>
    </row>
    <row r="66" spans="1:12" x14ac:dyDescent="0.25">
      <c r="A66" s="2">
        <v>65</v>
      </c>
      <c r="B66" s="2">
        <v>19</v>
      </c>
      <c r="C66">
        <f t="shared" si="0"/>
        <v>361</v>
      </c>
      <c r="D66" s="2">
        <v>218</v>
      </c>
      <c r="J66" s="3">
        <v>41</v>
      </c>
      <c r="K66" s="3">
        <v>202.34411508695348</v>
      </c>
      <c r="L66" s="3">
        <v>30.655884913046521</v>
      </c>
    </row>
    <row r="67" spans="1:12" x14ac:dyDescent="0.25">
      <c r="A67" s="2">
        <v>66</v>
      </c>
      <c r="B67" s="2">
        <v>49</v>
      </c>
      <c r="C67">
        <f t="shared" ref="C67:C101" si="1">B67^2</f>
        <v>2401</v>
      </c>
      <c r="D67" s="2">
        <v>243</v>
      </c>
      <c r="J67" s="3">
        <v>42</v>
      </c>
      <c r="K67" s="3">
        <v>206.70154703615395</v>
      </c>
      <c r="L67" s="3">
        <v>0.2984529638460458</v>
      </c>
    </row>
    <row r="68" spans="1:12" x14ac:dyDescent="0.25">
      <c r="A68" s="2">
        <v>67</v>
      </c>
      <c r="B68" s="2">
        <v>63</v>
      </c>
      <c r="C68">
        <f t="shared" si="1"/>
        <v>3969</v>
      </c>
      <c r="D68" s="2">
        <v>271</v>
      </c>
      <c r="J68" s="3">
        <v>43</v>
      </c>
      <c r="K68" s="3">
        <v>221.84481381183031</v>
      </c>
      <c r="L68" s="3">
        <v>-28.844813811830306</v>
      </c>
    </row>
    <row r="69" spans="1:12" x14ac:dyDescent="0.25">
      <c r="A69" s="2">
        <v>68</v>
      </c>
      <c r="B69" s="2">
        <v>62</v>
      </c>
      <c r="C69">
        <f t="shared" si="1"/>
        <v>3844</v>
      </c>
      <c r="D69" s="2">
        <v>264</v>
      </c>
      <c r="J69" s="3">
        <v>44</v>
      </c>
      <c r="K69" s="3">
        <v>210.20268370012121</v>
      </c>
      <c r="L69" s="3">
        <v>14.797316299878787</v>
      </c>
    </row>
    <row r="70" spans="1:12" x14ac:dyDescent="0.25">
      <c r="A70" s="2">
        <v>69</v>
      </c>
      <c r="B70" s="2">
        <v>22</v>
      </c>
      <c r="C70">
        <f t="shared" si="1"/>
        <v>484</v>
      </c>
      <c r="D70" s="2">
        <v>177</v>
      </c>
      <c r="J70" s="3">
        <v>45</v>
      </c>
      <c r="K70" s="3">
        <v>226.1239808455681</v>
      </c>
      <c r="L70" s="3">
        <v>36.876019154431901</v>
      </c>
    </row>
    <row r="71" spans="1:12" x14ac:dyDescent="0.25">
      <c r="A71" s="2">
        <v>70</v>
      </c>
      <c r="B71" s="2">
        <v>54</v>
      </c>
      <c r="C71">
        <f t="shared" si="1"/>
        <v>2916</v>
      </c>
      <c r="D71" s="2">
        <v>203</v>
      </c>
      <c r="J71" s="3">
        <v>46</v>
      </c>
      <c r="K71" s="3">
        <v>226.1239808455681</v>
      </c>
      <c r="L71" s="3">
        <v>41.876019154431901</v>
      </c>
    </row>
    <row r="72" spans="1:12" x14ac:dyDescent="0.25">
      <c r="A72" s="2">
        <v>71</v>
      </c>
      <c r="B72" s="2">
        <v>68</v>
      </c>
      <c r="C72">
        <f t="shared" si="1"/>
        <v>4624</v>
      </c>
      <c r="D72" s="2">
        <v>304</v>
      </c>
      <c r="J72" s="3">
        <v>47</v>
      </c>
      <c r="K72" s="3">
        <v>226.1239808455681</v>
      </c>
      <c r="L72" s="3">
        <v>27.876019154431901</v>
      </c>
    </row>
    <row r="73" spans="1:12" x14ac:dyDescent="0.25">
      <c r="A73" s="2">
        <v>72</v>
      </c>
      <c r="B73" s="2">
        <v>60</v>
      </c>
      <c r="C73">
        <f t="shared" si="1"/>
        <v>3600</v>
      </c>
      <c r="D73" s="2">
        <v>238</v>
      </c>
      <c r="J73" s="3">
        <v>48</v>
      </c>
      <c r="K73" s="3">
        <v>285.9133524915332</v>
      </c>
      <c r="L73" s="3">
        <v>-0.91335249153320319</v>
      </c>
    </row>
    <row r="74" spans="1:12" x14ac:dyDescent="0.25">
      <c r="A74" s="2">
        <v>73</v>
      </c>
      <c r="B74" s="2">
        <v>20</v>
      </c>
      <c r="C74">
        <f t="shared" si="1"/>
        <v>400</v>
      </c>
      <c r="D74" s="2">
        <v>271</v>
      </c>
      <c r="J74" s="3">
        <v>49</v>
      </c>
      <c r="K74" s="3">
        <v>277.41397868618293</v>
      </c>
      <c r="L74" s="3">
        <v>5.5860213138170707</v>
      </c>
    </row>
    <row r="75" spans="1:12" x14ac:dyDescent="0.25">
      <c r="A75" s="2">
        <v>74</v>
      </c>
      <c r="B75" s="2">
        <v>15</v>
      </c>
      <c r="C75">
        <f t="shared" si="1"/>
        <v>225</v>
      </c>
      <c r="D75" s="2">
        <v>254</v>
      </c>
      <c r="J75" s="3">
        <v>50</v>
      </c>
      <c r="K75" s="3">
        <v>188.36600550360976</v>
      </c>
      <c r="L75" s="3">
        <v>-16.366005503609756</v>
      </c>
    </row>
    <row r="76" spans="1:12" x14ac:dyDescent="0.25">
      <c r="A76" s="2">
        <v>75</v>
      </c>
      <c r="B76" s="2">
        <v>57</v>
      </c>
      <c r="C76">
        <f t="shared" si="1"/>
        <v>3249</v>
      </c>
      <c r="D76" s="2">
        <v>234</v>
      </c>
      <c r="J76" s="3">
        <v>51</v>
      </c>
      <c r="K76" s="3">
        <v>185.13365410784877</v>
      </c>
      <c r="L76" s="3">
        <v>21.86634589215123</v>
      </c>
    </row>
    <row r="77" spans="1:12" x14ac:dyDescent="0.25">
      <c r="A77" s="2">
        <v>76</v>
      </c>
      <c r="B77" s="2">
        <v>37</v>
      </c>
      <c r="C77">
        <f t="shared" si="1"/>
        <v>1369</v>
      </c>
      <c r="D77" s="2">
        <v>220</v>
      </c>
      <c r="J77" s="3">
        <v>52</v>
      </c>
      <c r="K77" s="3">
        <v>246.86810167824007</v>
      </c>
      <c r="L77" s="3">
        <v>22.131898321759934</v>
      </c>
    </row>
    <row r="78" spans="1:12" x14ac:dyDescent="0.25">
      <c r="A78" s="2">
        <v>77</v>
      </c>
      <c r="B78" s="2">
        <v>51</v>
      </c>
      <c r="C78">
        <f t="shared" si="1"/>
        <v>2601</v>
      </c>
      <c r="D78" s="2">
        <v>175</v>
      </c>
      <c r="J78" s="3">
        <v>53</v>
      </c>
      <c r="K78" s="3">
        <v>259.56271251489568</v>
      </c>
      <c r="L78" s="3">
        <v>-26.562712514895679</v>
      </c>
    </row>
    <row r="79" spans="1:12" x14ac:dyDescent="0.25">
      <c r="A79" s="2">
        <v>78</v>
      </c>
      <c r="B79" s="2">
        <v>35</v>
      </c>
      <c r="C79">
        <f t="shared" si="1"/>
        <v>1225</v>
      </c>
      <c r="D79" s="2">
        <v>165</v>
      </c>
      <c r="J79" s="3">
        <v>54</v>
      </c>
      <c r="K79" s="3">
        <v>292.52661063458243</v>
      </c>
      <c r="L79" s="3">
        <v>-37.526610634582426</v>
      </c>
    </row>
    <row r="80" spans="1:12" x14ac:dyDescent="0.25">
      <c r="A80" s="2">
        <v>79</v>
      </c>
      <c r="B80" s="2">
        <v>33</v>
      </c>
      <c r="C80">
        <f t="shared" si="1"/>
        <v>1089</v>
      </c>
      <c r="D80" s="2">
        <v>219</v>
      </c>
      <c r="J80" s="3">
        <v>55</v>
      </c>
      <c r="K80" s="3">
        <v>227.58289304641409</v>
      </c>
      <c r="L80" s="3">
        <v>-19.582893046414085</v>
      </c>
    </row>
    <row r="81" spans="1:12" x14ac:dyDescent="0.25">
      <c r="A81" s="2">
        <v>80</v>
      </c>
      <c r="B81" s="2">
        <v>40</v>
      </c>
      <c r="C81">
        <f t="shared" si="1"/>
        <v>1600</v>
      </c>
      <c r="D81" s="2">
        <v>212</v>
      </c>
      <c r="J81" s="3">
        <v>56</v>
      </c>
      <c r="K81" s="3">
        <v>177.19304385457184</v>
      </c>
      <c r="L81" s="3">
        <v>18.80695614542816</v>
      </c>
    </row>
    <row r="82" spans="1:12" x14ac:dyDescent="0.25">
      <c r="A82" s="2">
        <v>81</v>
      </c>
      <c r="B82" s="2">
        <v>20</v>
      </c>
      <c r="C82">
        <f t="shared" si="1"/>
        <v>400</v>
      </c>
      <c r="D82" s="2">
        <v>260</v>
      </c>
      <c r="J82" s="3">
        <v>57</v>
      </c>
      <c r="K82" s="3">
        <v>245.15173438312718</v>
      </c>
      <c r="L82" s="3">
        <v>6.8482656168728226</v>
      </c>
    </row>
    <row r="83" spans="1:12" x14ac:dyDescent="0.25">
      <c r="A83" s="2">
        <v>82</v>
      </c>
      <c r="B83" s="2">
        <v>25</v>
      </c>
      <c r="C83">
        <f t="shared" si="1"/>
        <v>625</v>
      </c>
      <c r="D83" s="2">
        <v>160</v>
      </c>
      <c r="J83" s="3">
        <v>58</v>
      </c>
      <c r="K83" s="3">
        <v>181.07753061645462</v>
      </c>
      <c r="L83" s="3">
        <v>-13.077530616454624</v>
      </c>
    </row>
    <row r="84" spans="1:12" x14ac:dyDescent="0.25">
      <c r="A84" s="2">
        <v>83</v>
      </c>
      <c r="B84" s="2">
        <v>43</v>
      </c>
      <c r="C84">
        <f t="shared" si="1"/>
        <v>1849</v>
      </c>
      <c r="D84" s="2">
        <v>193</v>
      </c>
      <c r="J84" s="3">
        <v>59</v>
      </c>
      <c r="K84" s="3">
        <v>177.19304385457184</v>
      </c>
      <c r="L84" s="3">
        <v>-23.19304385457184</v>
      </c>
    </row>
    <row r="85" spans="1:12" x14ac:dyDescent="0.25">
      <c r="A85" s="2">
        <v>84</v>
      </c>
      <c r="B85" s="2">
        <v>48</v>
      </c>
      <c r="C85">
        <f t="shared" si="1"/>
        <v>2304</v>
      </c>
      <c r="D85" s="2">
        <v>163</v>
      </c>
      <c r="J85" s="3">
        <v>60</v>
      </c>
      <c r="K85" s="3">
        <v>267.28594431279868</v>
      </c>
      <c r="L85" s="3">
        <v>-33.285944312798676</v>
      </c>
    </row>
    <row r="86" spans="1:12" x14ac:dyDescent="0.25">
      <c r="A86" s="2">
        <v>85</v>
      </c>
      <c r="B86" s="2">
        <v>61</v>
      </c>
      <c r="C86">
        <f t="shared" si="1"/>
        <v>3721</v>
      </c>
      <c r="D86" s="2">
        <v>276</v>
      </c>
      <c r="J86" s="3">
        <v>61</v>
      </c>
      <c r="K86" s="3">
        <v>285.9133524915332</v>
      </c>
      <c r="L86" s="3">
        <v>8.6647508466796808E-2</v>
      </c>
    </row>
    <row r="87" spans="1:12" x14ac:dyDescent="0.25">
      <c r="A87" s="2">
        <v>86</v>
      </c>
      <c r="B87" s="2">
        <v>68</v>
      </c>
      <c r="C87">
        <f t="shared" si="1"/>
        <v>4624</v>
      </c>
      <c r="D87" s="2">
        <v>288</v>
      </c>
      <c r="J87" s="3">
        <v>62</v>
      </c>
      <c r="K87" s="3">
        <v>320.87373334847848</v>
      </c>
      <c r="L87" s="3">
        <v>1.1262666515215187</v>
      </c>
    </row>
    <row r="88" spans="1:12" x14ac:dyDescent="0.25">
      <c r="A88" s="2">
        <v>87</v>
      </c>
      <c r="B88" s="2">
        <v>16</v>
      </c>
      <c r="C88">
        <f t="shared" si="1"/>
        <v>256</v>
      </c>
      <c r="D88" s="2">
        <v>262</v>
      </c>
      <c r="J88" s="3">
        <v>63</v>
      </c>
      <c r="K88" s="3">
        <v>198.33184495909882</v>
      </c>
      <c r="L88" s="3">
        <v>0.66815504090118338</v>
      </c>
    </row>
    <row r="89" spans="1:12" x14ac:dyDescent="0.25">
      <c r="A89" s="2">
        <v>88</v>
      </c>
      <c r="B89" s="2">
        <v>44</v>
      </c>
      <c r="C89">
        <f t="shared" si="1"/>
        <v>1936</v>
      </c>
      <c r="D89" s="2">
        <v>195</v>
      </c>
      <c r="J89" s="3">
        <v>64</v>
      </c>
      <c r="K89" s="3">
        <v>179.5672116027763</v>
      </c>
      <c r="L89" s="3">
        <v>-21.567211602776297</v>
      </c>
    </row>
    <row r="90" spans="1:12" x14ac:dyDescent="0.25">
      <c r="A90" s="2">
        <v>89</v>
      </c>
      <c r="B90" s="2">
        <v>24</v>
      </c>
      <c r="C90">
        <f t="shared" si="1"/>
        <v>576</v>
      </c>
      <c r="D90" s="2">
        <v>225</v>
      </c>
      <c r="J90" s="3">
        <v>65</v>
      </c>
      <c r="K90" s="3">
        <v>252.18464253833852</v>
      </c>
      <c r="L90" s="3">
        <v>-34.184642538338522</v>
      </c>
    </row>
    <row r="91" spans="1:12" x14ac:dyDescent="0.25">
      <c r="A91" s="2">
        <v>90</v>
      </c>
      <c r="B91" s="2">
        <v>56</v>
      </c>
      <c r="C91">
        <f t="shared" si="1"/>
        <v>3136</v>
      </c>
      <c r="D91" s="2">
        <v>229</v>
      </c>
      <c r="J91" s="3">
        <v>66</v>
      </c>
      <c r="K91" s="3">
        <v>191.34279016742687</v>
      </c>
      <c r="L91" s="3">
        <v>51.65720983257313</v>
      </c>
    </row>
    <row r="92" spans="1:12" x14ac:dyDescent="0.25">
      <c r="A92" s="2">
        <v>91</v>
      </c>
      <c r="B92" s="2">
        <v>35</v>
      </c>
      <c r="C92">
        <f t="shared" si="1"/>
        <v>1225</v>
      </c>
      <c r="D92" s="2">
        <v>194</v>
      </c>
      <c r="J92" s="3">
        <v>67</v>
      </c>
      <c r="K92" s="3">
        <v>269.25976670217852</v>
      </c>
      <c r="L92" s="3">
        <v>1.7402332978214758</v>
      </c>
    </row>
    <row r="93" spans="1:12" x14ac:dyDescent="0.25">
      <c r="A93" s="2">
        <v>92</v>
      </c>
      <c r="B93" s="2">
        <v>42</v>
      </c>
      <c r="C93">
        <f t="shared" si="1"/>
        <v>1764</v>
      </c>
      <c r="D93" s="2">
        <v>210</v>
      </c>
      <c r="J93" s="3">
        <v>68</v>
      </c>
      <c r="K93" s="3">
        <v>261.45071653951987</v>
      </c>
      <c r="L93" s="3">
        <v>2.549283460480126</v>
      </c>
    </row>
    <row r="94" spans="1:12" x14ac:dyDescent="0.25">
      <c r="A94" s="2">
        <v>93</v>
      </c>
      <c r="B94" s="2">
        <v>30</v>
      </c>
      <c r="C94">
        <f t="shared" si="1"/>
        <v>900</v>
      </c>
      <c r="D94" s="2">
        <v>205</v>
      </c>
      <c r="J94" s="3">
        <v>69</v>
      </c>
      <c r="K94" s="3">
        <v>232.12140353674198</v>
      </c>
      <c r="L94" s="3">
        <v>-55.12140353674198</v>
      </c>
    </row>
    <row r="95" spans="1:12" x14ac:dyDescent="0.25">
      <c r="A95" s="2">
        <v>94</v>
      </c>
      <c r="B95" s="2">
        <v>58</v>
      </c>
      <c r="C95">
        <f t="shared" si="1"/>
        <v>3364</v>
      </c>
      <c r="D95" s="2">
        <v>202</v>
      </c>
      <c r="J95" s="3">
        <v>70</v>
      </c>
      <c r="K95" s="3">
        <v>211.4041408067003</v>
      </c>
      <c r="L95" s="3">
        <v>-8.4041408067002976</v>
      </c>
    </row>
    <row r="96" spans="1:12" x14ac:dyDescent="0.25">
      <c r="A96" s="2">
        <v>95</v>
      </c>
      <c r="B96" s="2">
        <v>52</v>
      </c>
      <c r="C96">
        <f t="shared" si="1"/>
        <v>2704</v>
      </c>
      <c r="D96" s="2">
        <v>228</v>
      </c>
      <c r="J96" s="3">
        <v>71</v>
      </c>
      <c r="K96" s="3">
        <v>313.48244483565878</v>
      </c>
      <c r="L96" s="3">
        <v>-9.4824448356587823</v>
      </c>
    </row>
    <row r="97" spans="1:12" x14ac:dyDescent="0.25">
      <c r="A97" s="2">
        <v>96</v>
      </c>
      <c r="B97" s="2">
        <v>39</v>
      </c>
      <c r="C97">
        <f t="shared" si="1"/>
        <v>1521</v>
      </c>
      <c r="D97" s="2">
        <v>181</v>
      </c>
      <c r="J97" s="3">
        <v>72</v>
      </c>
      <c r="K97" s="3">
        <v>246.86810167824007</v>
      </c>
      <c r="L97" s="3">
        <v>-8.8681016782400661</v>
      </c>
    </row>
    <row r="98" spans="1:12" x14ac:dyDescent="0.25">
      <c r="A98" s="2">
        <v>97</v>
      </c>
      <c r="B98" s="2">
        <v>43</v>
      </c>
      <c r="C98">
        <f t="shared" si="1"/>
        <v>1849</v>
      </c>
      <c r="D98" s="2">
        <v>139</v>
      </c>
      <c r="J98" s="3">
        <v>73</v>
      </c>
      <c r="K98" s="3">
        <v>245.15173438312718</v>
      </c>
      <c r="L98" s="3">
        <v>25.848265616872823</v>
      </c>
    </row>
    <row r="99" spans="1:12" x14ac:dyDescent="0.25">
      <c r="A99" s="2">
        <v>98</v>
      </c>
      <c r="B99" s="2">
        <v>17</v>
      </c>
      <c r="C99">
        <f t="shared" si="1"/>
        <v>289</v>
      </c>
      <c r="D99" s="2">
        <v>262</v>
      </c>
      <c r="J99" s="3">
        <v>74</v>
      </c>
      <c r="K99" s="3">
        <v>283.76789337264199</v>
      </c>
      <c r="L99" s="3">
        <v>-29.767893372641993</v>
      </c>
    </row>
    <row r="100" spans="1:12" x14ac:dyDescent="0.25">
      <c r="A100" s="2">
        <v>99</v>
      </c>
      <c r="B100" s="2">
        <v>62</v>
      </c>
      <c r="C100">
        <f t="shared" si="1"/>
        <v>3844</v>
      </c>
      <c r="D100" s="2">
        <v>249</v>
      </c>
      <c r="J100" s="3">
        <v>75</v>
      </c>
      <c r="K100" s="3">
        <v>227.58289304641409</v>
      </c>
      <c r="L100" s="3">
        <v>6.4171069535859147</v>
      </c>
    </row>
    <row r="101" spans="1:12" x14ac:dyDescent="0.25">
      <c r="A101" s="2">
        <v>100</v>
      </c>
      <c r="B101" s="2">
        <v>10</v>
      </c>
      <c r="C101">
        <f t="shared" si="1"/>
        <v>100</v>
      </c>
      <c r="D101" s="2">
        <v>325</v>
      </c>
      <c r="J101" s="3">
        <v>76</v>
      </c>
      <c r="K101" s="3">
        <v>178.40205441044378</v>
      </c>
      <c r="L101" s="3">
        <v>41.597945589556218</v>
      </c>
    </row>
    <row r="102" spans="1:12" x14ac:dyDescent="0.25">
      <c r="J102" s="3">
        <v>77</v>
      </c>
      <c r="K102" s="3">
        <v>198.33184495909882</v>
      </c>
      <c r="L102" s="3">
        <v>-23.331844959098817</v>
      </c>
    </row>
    <row r="103" spans="1:12" x14ac:dyDescent="0.25">
      <c r="J103" s="3">
        <v>78</v>
      </c>
      <c r="K103" s="3">
        <v>181.07753061645462</v>
      </c>
      <c r="L103" s="3">
        <v>-16.077530616454624</v>
      </c>
    </row>
    <row r="104" spans="1:12" x14ac:dyDescent="0.25">
      <c r="J104" s="3">
        <v>79</v>
      </c>
      <c r="K104" s="3">
        <v>185.13365410784877</v>
      </c>
      <c r="L104" s="3">
        <v>33.86634589215123</v>
      </c>
    </row>
    <row r="105" spans="1:12" x14ac:dyDescent="0.25">
      <c r="J105" s="3">
        <v>80</v>
      </c>
      <c r="K105" s="3">
        <v>176.97755376152105</v>
      </c>
      <c r="L105" s="3">
        <v>35.022446238478949</v>
      </c>
    </row>
    <row r="106" spans="1:12" x14ac:dyDescent="0.25">
      <c r="J106" s="3">
        <v>81</v>
      </c>
      <c r="K106" s="3">
        <v>245.15173438312718</v>
      </c>
      <c r="L106" s="3">
        <v>14.848265616872823</v>
      </c>
    </row>
    <row r="107" spans="1:12" x14ac:dyDescent="0.25">
      <c r="J107" s="3">
        <v>82</v>
      </c>
      <c r="K107" s="3">
        <v>215.16462092725769</v>
      </c>
      <c r="L107" s="3">
        <v>-55.164620927257687</v>
      </c>
    </row>
    <row r="108" spans="1:12" x14ac:dyDescent="0.25">
      <c r="J108" s="3">
        <v>83</v>
      </c>
      <c r="K108" s="3">
        <v>178.65950950471074</v>
      </c>
      <c r="L108" s="3">
        <v>14.340490495289259</v>
      </c>
    </row>
    <row r="109" spans="1:12" x14ac:dyDescent="0.25">
      <c r="J109" s="3">
        <v>84</v>
      </c>
      <c r="K109" s="3">
        <v>188.36600550360976</v>
      </c>
      <c r="L109" s="3">
        <v>-25.366005503609756</v>
      </c>
    </row>
    <row r="110" spans="1:12" x14ac:dyDescent="0.25">
      <c r="J110" s="3">
        <v>85</v>
      </c>
      <c r="K110" s="3">
        <v>253.98682819820709</v>
      </c>
      <c r="L110" s="3">
        <v>22.013171801792907</v>
      </c>
    </row>
    <row r="111" spans="1:12" x14ac:dyDescent="0.25">
      <c r="J111" s="3">
        <v>86</v>
      </c>
      <c r="K111" s="3">
        <v>313.48244483565878</v>
      </c>
      <c r="L111" s="3">
        <v>-25.482444835658782</v>
      </c>
    </row>
    <row r="112" spans="1:12" x14ac:dyDescent="0.25">
      <c r="J112" s="3">
        <v>87</v>
      </c>
      <c r="K112" s="3">
        <v>275.35433793204743</v>
      </c>
      <c r="L112" s="3">
        <v>-13.354337932047429</v>
      </c>
    </row>
    <row r="113" spans="10:12" x14ac:dyDescent="0.25">
      <c r="J113" s="3">
        <v>88</v>
      </c>
      <c r="K113" s="3">
        <v>179.91048506179891</v>
      </c>
      <c r="L113" s="3">
        <v>15.089514938201091</v>
      </c>
    </row>
    <row r="114" spans="10:12" x14ac:dyDescent="0.25">
      <c r="J114" s="3">
        <v>89</v>
      </c>
      <c r="K114" s="3">
        <v>220.47171997574</v>
      </c>
      <c r="L114" s="3">
        <v>4.528280024259999</v>
      </c>
    </row>
    <row r="115" spans="10:12" x14ac:dyDescent="0.25">
      <c r="J115" s="3">
        <v>90</v>
      </c>
      <c r="K115" s="3">
        <v>221.84481381183031</v>
      </c>
      <c r="L115" s="3">
        <v>7.1551861881696937</v>
      </c>
    </row>
    <row r="116" spans="10:12" x14ac:dyDescent="0.25">
      <c r="J116" s="3">
        <v>91</v>
      </c>
      <c r="K116" s="3">
        <v>181.07753061645462</v>
      </c>
      <c r="L116" s="3">
        <v>12.922469383545376</v>
      </c>
    </row>
    <row r="117" spans="10:12" x14ac:dyDescent="0.25">
      <c r="J117" s="3">
        <v>92</v>
      </c>
      <c r="K117" s="3">
        <v>177.75369576896838</v>
      </c>
      <c r="L117" s="3">
        <v>32.246304231031615</v>
      </c>
    </row>
    <row r="118" spans="10:12" x14ac:dyDescent="0.25">
      <c r="J118" s="3">
        <v>93</v>
      </c>
      <c r="K118" s="3">
        <v>193.80655300503349</v>
      </c>
      <c r="L118" s="3">
        <v>11.193446994966507</v>
      </c>
    </row>
    <row r="119" spans="10:12" x14ac:dyDescent="0.25">
      <c r="J119" s="3">
        <v>94</v>
      </c>
      <c r="K119" s="3">
        <v>233.66613410234362</v>
      </c>
      <c r="L119" s="3">
        <v>-31.666134102343619</v>
      </c>
    </row>
    <row r="120" spans="10:12" x14ac:dyDescent="0.25">
      <c r="J120" s="3">
        <v>95</v>
      </c>
      <c r="K120" s="3">
        <v>202.34411508695348</v>
      </c>
      <c r="L120" s="3">
        <v>25.655884913046521</v>
      </c>
    </row>
    <row r="121" spans="10:12" x14ac:dyDescent="0.25">
      <c r="J121" s="3">
        <v>96</v>
      </c>
      <c r="K121" s="3">
        <v>177.10722548981613</v>
      </c>
      <c r="L121" s="3">
        <v>3.8927745101838696</v>
      </c>
    </row>
    <row r="122" spans="10:12" x14ac:dyDescent="0.25">
      <c r="J122" s="3">
        <v>97</v>
      </c>
      <c r="K122" s="3">
        <v>178.65950950471074</v>
      </c>
      <c r="L122" s="3">
        <v>-39.659509504710741</v>
      </c>
    </row>
    <row r="123" spans="10:12" x14ac:dyDescent="0.25">
      <c r="J123" s="3">
        <v>98</v>
      </c>
      <c r="K123" s="3">
        <v>267.28594431279868</v>
      </c>
      <c r="L123" s="3">
        <v>-5.2859443127986765</v>
      </c>
    </row>
    <row r="124" spans="10:12" x14ac:dyDescent="0.25">
      <c r="J124" s="3">
        <v>99</v>
      </c>
      <c r="K124" s="3">
        <v>261.45071653951987</v>
      </c>
      <c r="L124" s="3">
        <v>-12.450716539519874</v>
      </c>
    </row>
    <row r="125" spans="10:12" ht="15.75" thickBot="1" x14ac:dyDescent="0.3">
      <c r="J125" s="4">
        <v>100</v>
      </c>
      <c r="K125" s="4">
        <v>331.01309789580216</v>
      </c>
      <c r="L125" s="4">
        <v>-6.0130978958021615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Analysis of Residuals</vt:lpstr>
      <vt:lpstr>Data and Regression 1</vt:lpstr>
      <vt:lpstr>Data and Regression 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jones</cp:lastModifiedBy>
  <dcterms:created xsi:type="dcterms:W3CDTF">2012-10-18T16:57:14Z</dcterms:created>
  <dcterms:modified xsi:type="dcterms:W3CDTF">2015-10-17T23:15:22Z</dcterms:modified>
</cp:coreProperties>
</file>