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16\Fall 2016\Week 9\Week 9 Handouts\"/>
    </mc:Choice>
  </mc:AlternateContent>
  <bookViews>
    <workbookView xWindow="0" yWindow="120" windowWidth="19155" windowHeight="11820" firstSheet="2" activeTab="2"/>
  </bookViews>
  <sheets>
    <sheet name="Sheet4" sheetId="4" r:id="rId1"/>
    <sheet name="Analysis of Residuals" sheetId="5" r:id="rId2"/>
    <sheet name="Female Marathon Data" sheetId="1" r:id="rId3"/>
    <sheet name="Sheet3" sheetId="3" r:id="rId4"/>
  </sheets>
  <calcPr calcId="171027"/>
  <pivotCaches>
    <pivotCache cacheId="5" r:id="rId5"/>
  </pivotCaches>
</workbook>
</file>

<file path=xl/calcChain.xml><?xml version="1.0" encoding="utf-8"?>
<calcChain xmlns="http://schemas.openxmlformats.org/spreadsheetml/2006/main">
  <c r="J12" i="5" l="1"/>
  <c r="W51" i="1" l="1"/>
  <c r="W50" i="1"/>
  <c r="W49" i="1"/>
  <c r="W48" i="1"/>
  <c r="W47" i="1"/>
  <c r="Q10" i="5"/>
  <c r="P10" i="5"/>
  <c r="Q9" i="5"/>
  <c r="P9" i="5"/>
  <c r="Q8" i="5"/>
  <c r="P8" i="5"/>
  <c r="Q7" i="5"/>
  <c r="P7" i="5"/>
  <c r="Q6" i="5"/>
  <c r="P6" i="5"/>
  <c r="Q5" i="5"/>
  <c r="P5" i="5"/>
  <c r="J10" i="5"/>
  <c r="J9" i="5"/>
  <c r="J8" i="5"/>
  <c r="J7" i="5"/>
  <c r="J6" i="5"/>
  <c r="J5" i="5"/>
  <c r="F9" i="5"/>
  <c r="F8" i="5"/>
  <c r="F10" i="5"/>
  <c r="F5" i="5"/>
  <c r="O7" i="5"/>
  <c r="F6" i="5"/>
  <c r="O9" i="5"/>
  <c r="F7" i="5"/>
  <c r="O10" i="5"/>
  <c r="O5" i="5"/>
  <c r="O8" i="5"/>
  <c r="O6" i="5"/>
  <c r="H10" i="5"/>
  <c r="H6" i="5"/>
  <c r="H8" i="5"/>
  <c r="H9" i="5"/>
  <c r="H7" i="5"/>
  <c r="H5" i="5"/>
</calcChain>
</file>

<file path=xl/sharedStrings.xml><?xml version="1.0" encoding="utf-8"?>
<sst xmlns="http://schemas.openxmlformats.org/spreadsheetml/2006/main" count="49" uniqueCount="34">
  <si>
    <t>#</t>
  </si>
  <si>
    <t>Age</t>
  </si>
  <si>
    <t>Time(min)</t>
  </si>
  <si>
    <t>Row Labels</t>
  </si>
  <si>
    <t>Grand Total</t>
  </si>
  <si>
    <t>Average of Residuals</t>
  </si>
  <si>
    <t>10-19</t>
  </si>
  <si>
    <t>20-29</t>
  </si>
  <si>
    <t>30-39</t>
  </si>
  <si>
    <t>40-49</t>
  </si>
  <si>
    <t>50-59</t>
  </si>
  <si>
    <t>60-69</t>
  </si>
  <si>
    <t>Values</t>
  </si>
  <si>
    <t>StdDev of Residuals</t>
  </si>
  <si>
    <t>Count of Residuals</t>
  </si>
  <si>
    <t>Std Error</t>
  </si>
  <si>
    <t>Test Stat</t>
  </si>
  <si>
    <t>Crit Value</t>
  </si>
  <si>
    <t>Reject?</t>
  </si>
  <si>
    <t>yes</t>
  </si>
  <si>
    <t>NO</t>
  </si>
  <si>
    <t>Yes</t>
  </si>
  <si>
    <t>No</t>
  </si>
  <si>
    <t>x</t>
  </si>
  <si>
    <t>Null Hypothesis:  Average of residuals = 0</t>
  </si>
  <si>
    <t>Pivot Table</t>
  </si>
  <si>
    <t>Null Hypothesis:  Standard Deviation = 50.08</t>
  </si>
  <si>
    <t>Two-Tailed T-test</t>
  </si>
  <si>
    <t>Lower CV</t>
  </si>
  <si>
    <t>Upper CV</t>
  </si>
  <si>
    <t>YES</t>
  </si>
  <si>
    <t>X</t>
  </si>
  <si>
    <t>Two-Tailed Chi-Square Test for Variance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</si>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</sst>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2" borderId="1" xfId="0" applyFont="1" applyFill="1" applyBorder="1"/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0" fillId="2" borderId="1" xfId="0" applyFill="1" applyBorder="1"/>
    <xf numFmtId="0" fontId="3" fillId="0" borderId="0" xfId="0" applyFont="1" applyFill="1" applyAlignment="1">
      <alignment horizontal="left"/>
    </xf>
    <xf numFmtId="0" fontId="3" fillId="0" borderId="0" xfId="0" applyNumberFormat="1" applyFont="1" applyFill="1"/>
  </cellXfs>
  <cellStyles count="1">
    <cellStyle name="Normal" xfId="0" builtinId="0"/>
  </cellStyles>
  <dxfs count="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font>
        <sz val="20"/>
      </font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jones" refreshedDate="41200.531529745371" createdVersion="3" refreshedVersion="3" minRefreshableVersion="3" recordCount="100">
  <cacheSource type="worksheet">
    <worksheetSource ref="F29:J129" sheet="Female Marathon Data"/>
  </cacheSource>
  <cacheFields count="5">
    <cacheField name="Observation" numFmtId="0">
      <sharedItems containsSemiMixedTypes="0" containsString="0" containsNumber="1" containsInteger="1" minValue="1" maxValue="100"/>
    </cacheField>
    <cacheField name="Predicted Time(min)" numFmtId="0">
      <sharedItems containsSemiMixedTypes="0" containsString="0" containsNumber="1" minValue="226.37746852298804" maxValue="232.60426813883046"/>
    </cacheField>
    <cacheField name="Residuals" numFmtId="0">
      <sharedItems containsSemiMixedTypes="0" containsString="0" containsNumber="1" minValue="-90.12148191302029" maxValue="128.62253147701196"/>
    </cacheField>
    <cacheField name="Actual Time" numFmtId="0">
      <sharedItems containsSemiMixedTypes="0" containsString="0" containsNumber="1" containsInteger="1" minValue="139" maxValue="355"/>
    </cacheField>
    <cacheField name="Age" numFmtId="0">
      <sharedItems containsSemiMixedTypes="0" containsString="0" containsNumber="1" containsInteger="1" minValue="10" maxValue="69" count="48">
        <n v="37"/>
        <n v="40"/>
        <n v="58"/>
        <n v="16"/>
        <n v="68"/>
        <n v="52"/>
        <n v="23"/>
        <n v="48"/>
        <n v="59"/>
        <n v="53"/>
        <n v="66"/>
        <n v="43"/>
        <n v="15"/>
        <n v="24"/>
        <n v="54"/>
        <n v="65"/>
        <n v="36"/>
        <n v="44"/>
        <n v="17"/>
        <n v="35"/>
        <n v="21"/>
        <n v="34"/>
        <n v="20"/>
        <n v="13"/>
        <n v="45"/>
        <n v="69"/>
        <n v="14"/>
        <n v="26"/>
        <n v="56"/>
        <n v="64"/>
        <n v="33"/>
        <n v="60"/>
        <n v="18"/>
        <n v="57"/>
        <n v="41"/>
        <n v="11"/>
        <n v="51"/>
        <n v="19"/>
        <n v="49"/>
        <n v="63"/>
        <n v="62"/>
        <n v="22"/>
        <n v="25"/>
        <n v="61"/>
        <n v="42"/>
        <n v="30"/>
        <n v="39"/>
        <n v="10"/>
      </sharedItems>
      <fieldGroup base="4">
        <rangePr startNum="10" endNum="69" groupInterval="10"/>
        <groupItems count="8">
          <s v="&lt;10"/>
          <s v="10-19"/>
          <s v="20-29"/>
          <s v="30-39"/>
          <s v="40-49"/>
          <s v="50-59"/>
          <s v="60-69"/>
          <s v="&gt;7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229.75471577225852"/>
    <n v="-34.754715772258521"/>
    <n v="195"/>
    <x v="0"/>
  </r>
  <r>
    <n v="2"/>
    <n v="229.43809884263942"/>
    <n v="-59.43809884263942"/>
    <n v="170"/>
    <x v="1"/>
  </r>
  <r>
    <n v="3"/>
    <n v="227.53839726492478"/>
    <n v="14.461602735075218"/>
    <n v="242"/>
    <x v="2"/>
  </r>
  <r>
    <n v="4"/>
    <n v="231.97103427959226"/>
    <n v="59.02896572040774"/>
    <n v="291"/>
    <x v="3"/>
  </r>
  <r>
    <n v="5"/>
    <n v="226.48300749952776"/>
    <n v="121.51699250047224"/>
    <n v="348"/>
    <x v="4"/>
  </r>
  <r>
    <n v="6"/>
    <n v="228.17163112416299"/>
    <n v="-30.171631124162985"/>
    <n v="198"/>
    <x v="5"/>
  </r>
  <r>
    <n v="7"/>
    <n v="231.23226144381434"/>
    <n v="-31.232261443814338"/>
    <n v="200"/>
    <x v="6"/>
  </r>
  <r>
    <n v="8"/>
    <n v="231.97103427959226"/>
    <n v="54.02896572040774"/>
    <n v="286"/>
    <x v="3"/>
  </r>
  <r>
    <n v="9"/>
    <n v="228.59378703032178"/>
    <n v="-30.593787030321778"/>
    <n v="198"/>
    <x v="7"/>
  </r>
  <r>
    <n v="10"/>
    <n v="227.43285828838506"/>
    <n v="-10.432858288385063"/>
    <n v="217"/>
    <x v="8"/>
  </r>
  <r>
    <n v="11"/>
    <n v="228.06609214762329"/>
    <n v="-18.066092147623294"/>
    <n v="210"/>
    <x v="9"/>
  </r>
  <r>
    <n v="12"/>
    <n v="226.69408545260717"/>
    <n v="65.305914547392831"/>
    <n v="292"/>
    <x v="10"/>
  </r>
  <r>
    <n v="13"/>
    <n v="229.12148191302029"/>
    <n v="-53.12148191302029"/>
    <n v="176"/>
    <x v="11"/>
  </r>
  <r>
    <n v="14"/>
    <n v="232.07657325613195"/>
    <n v="92.923426743868049"/>
    <n v="325"/>
    <x v="12"/>
  </r>
  <r>
    <n v="15"/>
    <n v="231.12672246727465"/>
    <n v="-26.126722467274647"/>
    <n v="205"/>
    <x v="13"/>
  </r>
  <r>
    <n v="16"/>
    <n v="228.59378703032178"/>
    <n v="-36.593787030321778"/>
    <n v="192"/>
    <x v="7"/>
  </r>
  <r>
    <n v="17"/>
    <n v="227.96055317108357"/>
    <n v="-22.960553171083575"/>
    <n v="205"/>
    <x v="14"/>
  </r>
  <r>
    <n v="18"/>
    <n v="227.43285828838506"/>
    <n v="-9.4328582883850629"/>
    <n v="218"/>
    <x v="8"/>
  </r>
  <r>
    <n v="19"/>
    <n v="227.43285828838506"/>
    <n v="-3.4328582883850629"/>
    <n v="224"/>
    <x v="8"/>
  </r>
  <r>
    <n v="20"/>
    <n v="229.43809884263942"/>
    <n v="-80.43809884263942"/>
    <n v="149"/>
    <x v="1"/>
  </r>
  <r>
    <n v="21"/>
    <n v="226.79962442914686"/>
    <n v="47.20037557085314"/>
    <n v="274"/>
    <x v="15"/>
  </r>
  <r>
    <n v="22"/>
    <n v="228.59378703032178"/>
    <n v="-23.593787030321778"/>
    <n v="205"/>
    <x v="7"/>
  </r>
  <r>
    <n v="23"/>
    <n v="229.86025474879821"/>
    <n v="-72.860254748798212"/>
    <n v="157"/>
    <x v="16"/>
  </r>
  <r>
    <n v="24"/>
    <n v="228.06609214762329"/>
    <n v="-45.066092147623294"/>
    <n v="183"/>
    <x v="9"/>
  </r>
  <r>
    <n v="25"/>
    <n v="226.48300749952776"/>
    <n v="110.51699250047224"/>
    <n v="337"/>
    <x v="4"/>
  </r>
  <r>
    <n v="26"/>
    <n v="229.0159429364806"/>
    <n v="-48.015942936480599"/>
    <n v="181"/>
    <x v="17"/>
  </r>
  <r>
    <n v="27"/>
    <n v="227.96055317108357"/>
    <n v="-40.960553171083575"/>
    <n v="187"/>
    <x v="14"/>
  </r>
  <r>
    <n v="28"/>
    <n v="231.86549530305254"/>
    <n v="6.1345046969474595"/>
    <n v="238"/>
    <x v="18"/>
  </r>
  <r>
    <n v="29"/>
    <n v="229.9657937253379"/>
    <n v="-68.965793725337903"/>
    <n v="161"/>
    <x v="19"/>
  </r>
  <r>
    <n v="30"/>
    <n v="231.44333939689375"/>
    <n v="20.556660603106252"/>
    <n v="252"/>
    <x v="20"/>
  </r>
  <r>
    <n v="31"/>
    <n v="230.07133270187762"/>
    <n v="-36.071332701877623"/>
    <n v="194"/>
    <x v="21"/>
  </r>
  <r>
    <n v="32"/>
    <n v="227.53839726492478"/>
    <n v="45.461602735075218"/>
    <n v="273"/>
    <x v="2"/>
  </r>
  <r>
    <n v="33"/>
    <n v="231.54887837343344"/>
    <n v="71.451121626566561"/>
    <n v="303"/>
    <x v="22"/>
  </r>
  <r>
    <n v="34"/>
    <n v="232.28765120921136"/>
    <n v="81.712348790788639"/>
    <n v="314"/>
    <x v="23"/>
  </r>
  <r>
    <n v="35"/>
    <n v="228.91040395994091"/>
    <n v="-60.910403959940908"/>
    <n v="168"/>
    <x v="24"/>
  </r>
  <r>
    <n v="36"/>
    <n v="228.17163112416299"/>
    <n v="-69.171631124162985"/>
    <n v="159"/>
    <x v="5"/>
  </r>
  <r>
    <n v="37"/>
    <n v="226.37746852298804"/>
    <n v="128.62253147701196"/>
    <n v="355"/>
    <x v="25"/>
  </r>
  <r>
    <n v="38"/>
    <n v="232.18211223267167"/>
    <n v="74.81788776732833"/>
    <n v="307"/>
    <x v="26"/>
  </r>
  <r>
    <n v="39"/>
    <n v="232.18211223267167"/>
    <n v="64.81788776732833"/>
    <n v="297"/>
    <x v="26"/>
  </r>
  <r>
    <n v="40"/>
    <n v="230.91564451419524"/>
    <n v="-18.915644514195236"/>
    <n v="212"/>
    <x v="27"/>
  </r>
  <r>
    <n v="41"/>
    <n v="228.17163112416299"/>
    <n v="4.8283688758370147"/>
    <n v="233"/>
    <x v="5"/>
  </r>
  <r>
    <n v="42"/>
    <n v="228.06609214762329"/>
    <n v="-21.066092147623294"/>
    <n v="207"/>
    <x v="9"/>
  </r>
  <r>
    <n v="43"/>
    <n v="227.74947521800416"/>
    <n v="-34.749475218004164"/>
    <n v="193"/>
    <x v="28"/>
  </r>
  <r>
    <n v="44"/>
    <n v="230.91564451419524"/>
    <n v="-5.9156445141952361"/>
    <n v="225"/>
    <x v="27"/>
  </r>
  <r>
    <n v="45"/>
    <n v="231.23226144381434"/>
    <n v="31.767738556185662"/>
    <n v="263"/>
    <x v="6"/>
  </r>
  <r>
    <n v="46"/>
    <n v="231.23226144381434"/>
    <n v="36.767738556185662"/>
    <n v="268"/>
    <x v="6"/>
  </r>
  <r>
    <n v="47"/>
    <n v="231.23226144381434"/>
    <n v="22.767738556185662"/>
    <n v="254"/>
    <x v="6"/>
  </r>
  <r>
    <n v="48"/>
    <n v="226.79962442914686"/>
    <n v="58.20037557085314"/>
    <n v="285"/>
    <x v="15"/>
  </r>
  <r>
    <n v="49"/>
    <n v="226.90516340568655"/>
    <n v="56.094836594313449"/>
    <n v="283"/>
    <x v="29"/>
  </r>
  <r>
    <n v="50"/>
    <n v="228.59378703032178"/>
    <n v="-56.593787030321778"/>
    <n v="172"/>
    <x v="7"/>
  </r>
  <r>
    <n v="51"/>
    <n v="230.17687167841731"/>
    <n v="-23.176871678417314"/>
    <n v="207"/>
    <x v="30"/>
  </r>
  <r>
    <n v="52"/>
    <n v="227.32731931184537"/>
    <n v="41.672680688154628"/>
    <n v="269"/>
    <x v="31"/>
  </r>
  <r>
    <n v="53"/>
    <n v="231.75995632651285"/>
    <n v="1.2400436734871505"/>
    <n v="233"/>
    <x v="32"/>
  </r>
  <r>
    <n v="54"/>
    <n v="232.18211223267167"/>
    <n v="22.81788776732833"/>
    <n v="255"/>
    <x v="26"/>
  </r>
  <r>
    <n v="55"/>
    <n v="227.64393624146447"/>
    <n v="-19.643936241464473"/>
    <n v="208"/>
    <x v="33"/>
  </r>
  <r>
    <n v="56"/>
    <n v="229.3325598660997"/>
    <n v="-33.3325598660997"/>
    <n v="196"/>
    <x v="34"/>
  </r>
  <r>
    <n v="57"/>
    <n v="231.54887837343344"/>
    <n v="20.451121626566561"/>
    <n v="252"/>
    <x v="22"/>
  </r>
  <r>
    <n v="58"/>
    <n v="229.9657937253379"/>
    <n v="-61.965793725337903"/>
    <n v="168"/>
    <x v="19"/>
  </r>
  <r>
    <n v="59"/>
    <n v="229.3325598660997"/>
    <n v="-75.3325598660997"/>
    <n v="154"/>
    <x v="34"/>
  </r>
  <r>
    <n v="60"/>
    <n v="231.86549530305254"/>
    <n v="2.1345046969474595"/>
    <n v="234"/>
    <x v="18"/>
  </r>
  <r>
    <n v="61"/>
    <n v="226.79962442914686"/>
    <n v="59.20037557085314"/>
    <n v="286"/>
    <x v="15"/>
  </r>
  <r>
    <n v="62"/>
    <n v="232.49872916229077"/>
    <n v="89.501270837709228"/>
    <n v="322"/>
    <x v="35"/>
  </r>
  <r>
    <n v="63"/>
    <n v="228.27717010070268"/>
    <n v="-29.277170100702676"/>
    <n v="199"/>
    <x v="36"/>
  </r>
  <r>
    <n v="64"/>
    <n v="229.86025474879821"/>
    <n v="-71.860254748798212"/>
    <n v="158"/>
    <x v="16"/>
  </r>
  <r>
    <n v="65"/>
    <n v="231.65441734997316"/>
    <n v="-13.654417349973158"/>
    <n v="218"/>
    <x v="37"/>
  </r>
  <r>
    <n v="66"/>
    <n v="228.48824805378209"/>
    <n v="14.511751946217913"/>
    <n v="243"/>
    <x v="38"/>
  </r>
  <r>
    <n v="67"/>
    <n v="227.01070238222627"/>
    <n v="43.98929761777373"/>
    <n v="271"/>
    <x v="39"/>
  </r>
  <r>
    <n v="68"/>
    <n v="227.11624135876596"/>
    <n v="36.883758641234039"/>
    <n v="264"/>
    <x v="40"/>
  </r>
  <r>
    <n v="69"/>
    <n v="231.33780042035403"/>
    <n v="-54.337800420354029"/>
    <n v="177"/>
    <x v="41"/>
  </r>
  <r>
    <n v="70"/>
    <n v="227.96055317108357"/>
    <n v="-24.960553171083575"/>
    <n v="203"/>
    <x v="14"/>
  </r>
  <r>
    <n v="71"/>
    <n v="226.48300749952776"/>
    <n v="77.516992500472242"/>
    <n v="304"/>
    <x v="4"/>
  </r>
  <r>
    <n v="72"/>
    <n v="227.32731931184537"/>
    <n v="10.672680688154628"/>
    <n v="238"/>
    <x v="31"/>
  </r>
  <r>
    <n v="73"/>
    <n v="231.54887837343344"/>
    <n v="39.451121626566561"/>
    <n v="271"/>
    <x v="22"/>
  </r>
  <r>
    <n v="74"/>
    <n v="232.07657325613195"/>
    <n v="21.923426743868049"/>
    <n v="254"/>
    <x v="12"/>
  </r>
  <r>
    <n v="75"/>
    <n v="227.64393624146447"/>
    <n v="6.3560637585355266"/>
    <n v="234"/>
    <x v="33"/>
  </r>
  <r>
    <n v="76"/>
    <n v="229.75471577225852"/>
    <n v="-9.7547157722585212"/>
    <n v="220"/>
    <x v="0"/>
  </r>
  <r>
    <n v="77"/>
    <n v="228.27717010070268"/>
    <n v="-53.277170100702676"/>
    <n v="175"/>
    <x v="36"/>
  </r>
  <r>
    <n v="78"/>
    <n v="229.9657937253379"/>
    <n v="-64.965793725337903"/>
    <n v="165"/>
    <x v="19"/>
  </r>
  <r>
    <n v="79"/>
    <n v="230.17687167841731"/>
    <n v="-11.176871678417314"/>
    <n v="219"/>
    <x v="30"/>
  </r>
  <r>
    <n v="80"/>
    <n v="229.43809884263942"/>
    <n v="-17.43809884263942"/>
    <n v="212"/>
    <x v="1"/>
  </r>
  <r>
    <n v="81"/>
    <n v="231.54887837343344"/>
    <n v="28.451121626566561"/>
    <n v="260"/>
    <x v="22"/>
  </r>
  <r>
    <n v="82"/>
    <n v="231.02118349073493"/>
    <n v="-71.021183490734927"/>
    <n v="160"/>
    <x v="42"/>
  </r>
  <r>
    <n v="83"/>
    <n v="229.12148191302029"/>
    <n v="-36.12148191302029"/>
    <n v="193"/>
    <x v="11"/>
  </r>
  <r>
    <n v="84"/>
    <n v="228.59378703032178"/>
    <n v="-65.593787030321778"/>
    <n v="163"/>
    <x v="7"/>
  </r>
  <r>
    <n v="85"/>
    <n v="227.22178033530565"/>
    <n v="48.778219664694348"/>
    <n v="276"/>
    <x v="43"/>
  </r>
  <r>
    <n v="86"/>
    <n v="226.48300749952776"/>
    <n v="61.516992500472242"/>
    <n v="288"/>
    <x v="4"/>
  </r>
  <r>
    <n v="87"/>
    <n v="231.97103427959226"/>
    <n v="30.02896572040774"/>
    <n v="262"/>
    <x v="3"/>
  </r>
  <r>
    <n v="88"/>
    <n v="229.0159429364806"/>
    <n v="-34.015942936480599"/>
    <n v="195"/>
    <x v="17"/>
  </r>
  <r>
    <n v="89"/>
    <n v="231.12672246727465"/>
    <n v="-6.1267224672746465"/>
    <n v="225"/>
    <x v="13"/>
  </r>
  <r>
    <n v="90"/>
    <n v="227.74947521800416"/>
    <n v="1.2505247819958356"/>
    <n v="229"/>
    <x v="28"/>
  </r>
  <r>
    <n v="91"/>
    <n v="229.9657937253379"/>
    <n v="-35.965793725337903"/>
    <n v="194"/>
    <x v="19"/>
  </r>
  <r>
    <n v="92"/>
    <n v="229.22702088956001"/>
    <n v="-19.227020889560009"/>
    <n v="210"/>
    <x v="44"/>
  </r>
  <r>
    <n v="93"/>
    <n v="230.49348860803642"/>
    <n v="-25.493488608036415"/>
    <n v="205"/>
    <x v="45"/>
  </r>
  <r>
    <n v="94"/>
    <n v="227.53839726492478"/>
    <n v="-25.538397264924782"/>
    <n v="202"/>
    <x v="2"/>
  </r>
  <r>
    <n v="95"/>
    <n v="228.17163112416299"/>
    <n v="-0.17163112416298532"/>
    <n v="228"/>
    <x v="5"/>
  </r>
  <r>
    <n v="96"/>
    <n v="229.54363781917911"/>
    <n v="-48.543637819179111"/>
    <n v="181"/>
    <x v="46"/>
  </r>
  <r>
    <n v="97"/>
    <n v="229.12148191302029"/>
    <n v="-90.12148191302029"/>
    <n v="139"/>
    <x v="11"/>
  </r>
  <r>
    <n v="98"/>
    <n v="231.86549530305254"/>
    <n v="30.134504696947459"/>
    <n v="262"/>
    <x v="18"/>
  </r>
  <r>
    <n v="99"/>
    <n v="227.11624135876596"/>
    <n v="21.883758641234039"/>
    <n v="249"/>
    <x v="40"/>
  </r>
  <r>
    <n v="100"/>
    <n v="232.60426813883046"/>
    <n v="92.395731861169537"/>
    <n v="325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5"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siduals" fld="2" subtotal="average" baseField="0" baseItem="0"/>
    <dataField name="StdDev of Residuals" fld="2" subtotal="stdDev" baseField="0" baseItem="0"/>
    <dataField name="Count of Residuals" fld="2" subtotal="count" baseField="0" baseItem="0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field="4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4" count="6">
            <x v="1"/>
            <x v="2"/>
            <x v="3"/>
            <x v="4"/>
            <x v="5"/>
            <x v="6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B1" workbookViewId="0">
      <selection activeCell="J6" sqref="J6"/>
    </sheetView>
  </sheetViews>
  <sheetFormatPr defaultRowHeight="15" x14ac:dyDescent="0.25"/>
  <cols>
    <col min="1" max="1" width="20" customWidth="1"/>
    <col min="2" max="2" width="26.75" customWidth="1"/>
    <col min="3" max="3" width="18.75" bestFit="1" customWidth="1"/>
    <col min="4" max="4" width="17.75" bestFit="1" customWidth="1"/>
    <col min="6" max="6" width="12.125" customWidth="1"/>
    <col min="10" max="10" width="11.25" customWidth="1"/>
    <col min="12" max="12" width="12.375" customWidth="1"/>
    <col min="16" max="16" width="17" customWidth="1"/>
    <col min="17" max="17" width="12" customWidth="1"/>
    <col min="19" max="19" width="13.625" customWidth="1"/>
  </cols>
  <sheetData>
    <row r="1" spans="1:22" ht="26.25" x14ac:dyDescent="0.4">
      <c r="A1" s="14" t="s">
        <v>25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</row>
    <row r="2" spans="1:22" ht="26.25" x14ac:dyDescent="0.4">
      <c r="A2" s="7"/>
      <c r="B2" s="7"/>
      <c r="C2" s="7"/>
      <c r="D2" s="7"/>
      <c r="E2" s="8"/>
      <c r="F2" s="6" t="s">
        <v>27</v>
      </c>
      <c r="G2" s="7"/>
      <c r="H2" s="7"/>
      <c r="I2" s="7"/>
      <c r="J2" s="7"/>
      <c r="K2" s="7"/>
      <c r="L2" s="7"/>
      <c r="M2" s="7"/>
      <c r="O2" s="6" t="s">
        <v>32</v>
      </c>
      <c r="P2" s="5"/>
      <c r="Q2" s="5"/>
      <c r="R2" s="5"/>
      <c r="S2" s="5"/>
      <c r="T2" s="5"/>
      <c r="U2" s="5"/>
    </row>
    <row r="3" spans="1:22" ht="26.25" x14ac:dyDescent="0.4">
      <c r="A3" s="7"/>
      <c r="B3" s="7" t="s">
        <v>12</v>
      </c>
      <c r="C3" s="7"/>
      <c r="D3" s="7"/>
      <c r="E3" s="8"/>
      <c r="F3" s="14" t="s">
        <v>24</v>
      </c>
      <c r="G3" s="14"/>
      <c r="H3" s="14"/>
      <c r="I3" s="14"/>
      <c r="J3" s="14"/>
      <c r="K3" s="19"/>
      <c r="L3" s="19"/>
      <c r="M3" s="19"/>
      <c r="N3" s="18"/>
      <c r="O3" s="14" t="s">
        <v>26</v>
      </c>
      <c r="P3" s="24"/>
      <c r="Q3" s="24"/>
      <c r="R3" s="24"/>
      <c r="S3" s="24"/>
      <c r="T3" s="24"/>
      <c r="U3" s="24"/>
      <c r="V3" s="17"/>
    </row>
    <row r="4" spans="1:22" ht="52.5" x14ac:dyDescent="0.4">
      <c r="A4" s="11" t="s">
        <v>3</v>
      </c>
      <c r="B4" s="11" t="s">
        <v>5</v>
      </c>
      <c r="C4" s="11" t="s">
        <v>13</v>
      </c>
      <c r="D4" s="11" t="s">
        <v>14</v>
      </c>
      <c r="E4" s="12"/>
      <c r="F4" s="20" t="s">
        <v>15</v>
      </c>
      <c r="G4" s="20"/>
      <c r="H4" s="20" t="s">
        <v>16</v>
      </c>
      <c r="I4" s="20"/>
      <c r="J4" s="20" t="s">
        <v>17</v>
      </c>
      <c r="K4" s="20"/>
      <c r="L4" s="20" t="s">
        <v>18</v>
      </c>
      <c r="M4" s="21"/>
      <c r="O4" s="13" t="s">
        <v>16</v>
      </c>
      <c r="P4" s="13" t="s">
        <v>28</v>
      </c>
      <c r="Q4" s="13" t="s">
        <v>29</v>
      </c>
      <c r="R4" s="13"/>
      <c r="S4" s="13" t="s">
        <v>18</v>
      </c>
      <c r="T4" s="15"/>
      <c r="U4" s="2"/>
    </row>
    <row r="5" spans="1:22" ht="26.25" x14ac:dyDescent="0.4">
      <c r="A5" s="25" t="s">
        <v>6</v>
      </c>
      <c r="B5" s="26">
        <v>44.374119115935514</v>
      </c>
      <c r="C5" s="26">
        <v>36.146030198271148</v>
      </c>
      <c r="D5" s="26">
        <v>16</v>
      </c>
      <c r="E5" s="8"/>
      <c r="F5" s="22">
        <f>GETPIVOTDATA("StdDev of Residuals",$A$3,"Age",10)/SQRT(GETPIVOTDATA("Count of Residuals",$A$3,"Age",10))</f>
        <v>9.0365075495677871</v>
      </c>
      <c r="G5" s="22"/>
      <c r="H5" s="22">
        <f>0-GETPIVOTDATA("Average of Residuals",$A$3,"Age",10)/F5</f>
        <v>-4.9105385982948588</v>
      </c>
      <c r="I5" s="22"/>
      <c r="J5" s="22">
        <f>TINV(0.01,15)</f>
        <v>2.9467128834752381</v>
      </c>
      <c r="K5" s="22"/>
      <c r="L5" s="23" t="s">
        <v>19</v>
      </c>
      <c r="M5" s="23" t="s">
        <v>23</v>
      </c>
      <c r="O5" s="16">
        <f>15*GETPIVOTDATA("StdDev of Residuals",$A$3,"Age",10)^2/GETPIVOTDATA("StdDev of Residuals",$A$3)^2</f>
        <v>7.81283007989704</v>
      </c>
      <c r="P5" s="16">
        <f>CHIINV(0.975,15)</f>
        <v>6.26213779504325</v>
      </c>
      <c r="Q5" s="16">
        <f>CHIINV(0.0255,15)</f>
        <v>27.419300700357134</v>
      </c>
      <c r="R5" s="16"/>
      <c r="S5" s="9" t="s">
        <v>20</v>
      </c>
      <c r="T5" s="16"/>
      <c r="U5" s="2"/>
    </row>
    <row r="6" spans="1:22" ht="26.25" x14ac:dyDescent="0.4">
      <c r="A6" s="25" t="s">
        <v>7</v>
      </c>
      <c r="B6" s="26">
        <v>3.8658922306724284</v>
      </c>
      <c r="C6" s="26">
        <v>38.77793158093543</v>
      </c>
      <c r="D6" s="26">
        <v>15</v>
      </c>
      <c r="E6" s="8"/>
      <c r="F6" s="22">
        <f>GETPIVOTDATA("StdDev of Residuals",$A$3,"Age",20)/SQRT(15)</f>
        <v>10.012418880888903</v>
      </c>
      <c r="G6" s="22"/>
      <c r="H6" s="22">
        <f>0-GETPIVOTDATA("Average of Residuals",$A$3,"Age",20)/F6</f>
        <v>-0.38610971800744459</v>
      </c>
      <c r="I6" s="22"/>
      <c r="J6" s="22">
        <f>TINV(0.01,14)</f>
        <v>2.9768427343708348</v>
      </c>
      <c r="K6" s="22"/>
      <c r="L6" s="23" t="s">
        <v>22</v>
      </c>
      <c r="M6" s="23"/>
      <c r="O6" s="16">
        <f>14*GETPIVOTDATA("StdDev of Residuals",$A$3,"Age",20)^2/GETPIVOTDATA("StdDev of Residuals",$A$3)^2</f>
        <v>8.3925361680947326</v>
      </c>
      <c r="P6" s="16">
        <f>CHIINV(0.975,14)</f>
        <v>5.6287261030397318</v>
      </c>
      <c r="Q6" s="16">
        <f>CHIINV(0.025,14)</f>
        <v>26.118948045037371</v>
      </c>
      <c r="R6" s="16"/>
      <c r="S6" s="9" t="s">
        <v>20</v>
      </c>
      <c r="T6" s="16"/>
      <c r="U6" s="2"/>
    </row>
    <row r="7" spans="1:22" ht="26.25" x14ac:dyDescent="0.4">
      <c r="A7" s="25" t="s">
        <v>8</v>
      </c>
      <c r="B7" s="26">
        <v>-43.50425526379945</v>
      </c>
      <c r="C7" s="26">
        <v>22.824075978453958</v>
      </c>
      <c r="D7" s="26">
        <v>13</v>
      </c>
      <c r="E7" s="8"/>
      <c r="F7" s="22">
        <f>GETPIVOTDATA("StdDev of Residuals",$A$3,"Age",30)/SQRT(13)</f>
        <v>6.3302597119539747</v>
      </c>
      <c r="G7" s="22"/>
      <c r="H7" s="22">
        <f>-GETPIVOTDATA("Average of Residuals",$A$3,"Age",30)/F7</f>
        <v>6.8724281851574931</v>
      </c>
      <c r="I7" s="22"/>
      <c r="J7" s="22">
        <f>TINV(0.01,12)</f>
        <v>3.0545395893929017</v>
      </c>
      <c r="K7" s="22"/>
      <c r="L7" s="23" t="s">
        <v>21</v>
      </c>
      <c r="M7" s="23" t="s">
        <v>23</v>
      </c>
      <c r="O7" s="16">
        <f>12*GETPIVOTDATA("StdDev of Residuals",$A$3,"Age",30)^2/GETPIVOTDATA("StdDev of Residuals",$A$3)^2</f>
        <v>2.4920890706700618</v>
      </c>
      <c r="P7" s="16">
        <f>CHIINV(0.975,12)</f>
        <v>4.4037885069817033</v>
      </c>
      <c r="Q7" s="16">
        <f>CHIINV(0.025,12)</f>
        <v>23.336664158645338</v>
      </c>
      <c r="R7" s="16"/>
      <c r="S7" s="9" t="s">
        <v>30</v>
      </c>
      <c r="T7" s="9" t="s">
        <v>31</v>
      </c>
      <c r="U7" s="2"/>
    </row>
    <row r="8" spans="1:22" ht="26.25" x14ac:dyDescent="0.4">
      <c r="A8" s="25" t="s">
        <v>9</v>
      </c>
      <c r="B8" s="26">
        <v>-44.776130884835084</v>
      </c>
      <c r="C8" s="26">
        <v>25.831732208658611</v>
      </c>
      <c r="D8" s="26">
        <v>18</v>
      </c>
      <c r="E8" s="8"/>
      <c r="F8" s="22">
        <f>GETPIVOTDATA("StdDev of Residuals",$A$3,"Age",40)/SQRT(GETPIVOTDATA("Count of Residuals",$A$3,"Age",50))</f>
        <v>5.5073438115923103</v>
      </c>
      <c r="G8" s="22"/>
      <c r="H8" s="22">
        <f>-GETPIVOTDATA("Average of Residuals",$A$3,"Age",40)/F8</f>
        <v>8.1302588719060171</v>
      </c>
      <c r="I8" s="22"/>
      <c r="J8" s="22">
        <f>TINV(0.01,17)</f>
        <v>2.8982305196774178</v>
      </c>
      <c r="K8" s="22"/>
      <c r="L8" s="23" t="s">
        <v>21</v>
      </c>
      <c r="M8" s="23" t="s">
        <v>23</v>
      </c>
      <c r="O8" s="16">
        <f>17*GETPIVOTDATA("StdDev of Residuals",$A$3,"Age",40)^2/GETPIVOTDATA("StdDev of Residuals",$A$3)^2</f>
        <v>4.5222220865940717</v>
      </c>
      <c r="P8" s="16">
        <f>CHIINV(0.975,17)</f>
        <v>7.5641864495775692</v>
      </c>
      <c r="Q8" s="16">
        <f>CHIINV(0.025,17)</f>
        <v>30.191009121639812</v>
      </c>
      <c r="R8" s="16"/>
      <c r="S8" s="9" t="s">
        <v>30</v>
      </c>
      <c r="T8" s="9" t="s">
        <v>31</v>
      </c>
      <c r="U8" s="2"/>
    </row>
    <row r="9" spans="1:22" ht="26.25" x14ac:dyDescent="0.4">
      <c r="A9" s="25" t="s">
        <v>10</v>
      </c>
      <c r="B9" s="26">
        <v>-17.546426828774766</v>
      </c>
      <c r="C9" s="26">
        <v>24.921671728198351</v>
      </c>
      <c r="D9" s="26">
        <v>22</v>
      </c>
      <c r="E9" s="8"/>
      <c r="F9" s="22">
        <f>GETPIVOTDATA("StdDev of Residuals",$A$3,"Age",50)/SQRT(22)</f>
        <v>5.3133182652312518</v>
      </c>
      <c r="G9" s="22"/>
      <c r="H9" s="22">
        <f>-GETPIVOTDATA("Average of Residuals",$A$3,"Age",50)/F9</f>
        <v>3.3023481660402836</v>
      </c>
      <c r="I9" s="22"/>
      <c r="J9" s="22">
        <f>TINV(0.01,21)</f>
        <v>2.8313595580230499</v>
      </c>
      <c r="K9" s="22"/>
      <c r="L9" s="23" t="s">
        <v>21</v>
      </c>
      <c r="M9" s="23" t="s">
        <v>23</v>
      </c>
      <c r="O9" s="16">
        <f>21*GETPIVOTDATA("StdDev of Residuals",$A$3,"Age",50)^2/GETPIVOTDATA("StdDev of Residuals",$A$3)^2</f>
        <v>5.1995953030238873</v>
      </c>
      <c r="P9" s="16">
        <f>CHIINV(0.975,21)</f>
        <v>10.282897782522859</v>
      </c>
      <c r="Q9" s="16">
        <f>CHIINV(0.025,21)</f>
        <v>35.478875905727257</v>
      </c>
      <c r="R9" s="16"/>
      <c r="S9" s="9" t="s">
        <v>30</v>
      </c>
      <c r="T9" s="9" t="s">
        <v>31</v>
      </c>
      <c r="U9" s="2"/>
    </row>
    <row r="10" spans="1:22" ht="26.25" x14ac:dyDescent="0.4">
      <c r="A10" s="25" t="s">
        <v>11</v>
      </c>
      <c r="B10" s="26">
        <v>61.848298454650759</v>
      </c>
      <c r="C10" s="26">
        <v>33.316173892992673</v>
      </c>
      <c r="D10" s="26">
        <v>16</v>
      </c>
      <c r="E10" s="8"/>
      <c r="F10" s="22">
        <f>GETPIVOTDATA("StdDev of Residuals",$A$3,"Age",60)/SQRT(GETPIVOTDATA("Count of Residuals",$A$3,"Age",60))</f>
        <v>8.3290434732481682</v>
      </c>
      <c r="G10" s="22"/>
      <c r="H10" s="22">
        <f>-GETPIVOTDATA("Average of Residuals",$A$3,"Age",60)/F10</f>
        <v>-7.4256183982350015</v>
      </c>
      <c r="I10" s="22"/>
      <c r="J10" s="22">
        <f>TINV(0.01,15)</f>
        <v>2.9467128834752381</v>
      </c>
      <c r="K10" s="22"/>
      <c r="L10" s="23" t="s">
        <v>21</v>
      </c>
      <c r="M10" s="23" t="s">
        <v>23</v>
      </c>
      <c r="O10" s="16">
        <f>15*GETPIVOTDATA("StdDev of Residuals",$A$3,"Age",60)^2/GETPIVOTDATA("StdDev of Residuals",$A$3)^2</f>
        <v>6.6373910478190492</v>
      </c>
      <c r="P10" s="16">
        <f>CHIINV(0.975,15)</f>
        <v>6.26213779504325</v>
      </c>
      <c r="Q10" s="16">
        <f>CHIINV(0.025,15)</f>
        <v>27.488392863442982</v>
      </c>
      <c r="R10" s="16"/>
      <c r="S10" s="9" t="s">
        <v>20</v>
      </c>
      <c r="T10" s="16"/>
      <c r="U10" s="2"/>
    </row>
    <row r="11" spans="1:22" ht="26.25" x14ac:dyDescent="0.4">
      <c r="A11" s="25" t="s">
        <v>4</v>
      </c>
      <c r="B11" s="26">
        <v>-2.6716406864579765E-14</v>
      </c>
      <c r="C11" s="26">
        <v>50.084350609848272</v>
      </c>
      <c r="D11" s="26">
        <v>100</v>
      </c>
      <c r="E11" s="8"/>
      <c r="F11" s="8"/>
      <c r="G11" s="8"/>
      <c r="H11" s="8"/>
      <c r="I11" s="8"/>
      <c r="J11" s="8"/>
      <c r="K11" s="8"/>
      <c r="L11" s="8"/>
      <c r="M11" s="8"/>
    </row>
    <row r="12" spans="1:22" ht="26.25" x14ac:dyDescent="0.4">
      <c r="A12" s="22"/>
      <c r="B12" s="22"/>
      <c r="C12" s="22"/>
      <c r="D12" s="22"/>
      <c r="E12" s="8"/>
      <c r="F12" s="8"/>
      <c r="G12" s="8"/>
      <c r="H12" s="8"/>
      <c r="I12" s="8"/>
      <c r="J12" s="8">
        <f>_xlfn.T.INV(0.995,15)</f>
        <v>2.9467128834752367</v>
      </c>
      <c r="K12" s="8"/>
      <c r="L12" s="8"/>
      <c r="M12" s="8"/>
    </row>
    <row r="13" spans="1:22" ht="26.25" x14ac:dyDescent="0.4">
      <c r="A13" s="22"/>
      <c r="B13" s="22"/>
      <c r="C13" s="22"/>
      <c r="D13" s="22"/>
      <c r="E13" s="8"/>
      <c r="F13" s="10"/>
      <c r="G13" s="10"/>
      <c r="H13" s="10"/>
      <c r="I13" s="10"/>
      <c r="J13" s="10"/>
      <c r="K13" s="10"/>
      <c r="L13" s="10"/>
      <c r="M13" s="8"/>
    </row>
    <row r="14" spans="1:22" ht="26.25" x14ac:dyDescent="0.4">
      <c r="A14" s="22"/>
      <c r="B14" s="22"/>
      <c r="C14" s="22"/>
      <c r="D14" s="22"/>
      <c r="E14" s="8"/>
      <c r="F14" s="8"/>
      <c r="G14" s="8"/>
      <c r="H14" s="8"/>
      <c r="I14" s="8"/>
      <c r="J14" s="8"/>
      <c r="K14" s="8"/>
      <c r="L14" s="8"/>
      <c r="M14" s="8"/>
    </row>
    <row r="15" spans="1:22" ht="26.25" x14ac:dyDescent="0.4">
      <c r="A15" s="22"/>
      <c r="B15" s="22"/>
      <c r="C15" s="22"/>
      <c r="D15" s="22"/>
      <c r="E15" s="8"/>
      <c r="F15" s="8"/>
      <c r="G15" s="8"/>
      <c r="H15" s="8"/>
      <c r="I15" s="8"/>
      <c r="J15" s="8"/>
      <c r="K15" s="8"/>
      <c r="L15" s="8"/>
      <c r="M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abSelected="1" workbookViewId="0">
      <selection activeCell="D7" sqref="D7"/>
    </sheetView>
  </sheetViews>
  <sheetFormatPr defaultRowHeight="15" x14ac:dyDescent="0.25"/>
  <cols>
    <col min="1" max="1" width="7.625" customWidth="1"/>
    <col min="2" max="3" width="14.75" customWidth="1"/>
    <col min="6" max="6" width="16.625" customWidth="1"/>
    <col min="7" max="7" width="18.375" customWidth="1"/>
    <col min="9" max="9" width="15.125" customWidth="1"/>
    <col min="15" max="15" width="13.125" customWidth="1"/>
    <col min="16" max="16" width="19.75" bestFit="1" customWidth="1"/>
    <col min="17" max="17" width="18.75" bestFit="1" customWidth="1"/>
    <col min="18" max="18" width="17.75" bestFit="1" customWidth="1"/>
  </cols>
  <sheetData>
    <row r="1" spans="1:3" ht="21" x14ac:dyDescent="0.3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37</v>
      </c>
      <c r="C2" s="2">
        <v>195</v>
      </c>
    </row>
    <row r="3" spans="1:3" x14ac:dyDescent="0.25">
      <c r="A3" s="2">
        <v>2</v>
      </c>
      <c r="B3" s="2">
        <v>40</v>
      </c>
      <c r="C3" s="2">
        <v>170</v>
      </c>
    </row>
    <row r="4" spans="1:3" x14ac:dyDescent="0.25">
      <c r="A4" s="2">
        <v>3</v>
      </c>
      <c r="B4" s="2">
        <v>58</v>
      </c>
      <c r="C4" s="2">
        <v>242</v>
      </c>
    </row>
    <row r="5" spans="1:3" x14ac:dyDescent="0.25">
      <c r="A5" s="2">
        <v>4</v>
      </c>
      <c r="B5" s="2">
        <v>16</v>
      </c>
      <c r="C5" s="2">
        <v>291</v>
      </c>
    </row>
    <row r="6" spans="1:3" x14ac:dyDescent="0.25">
      <c r="A6" s="2">
        <v>5</v>
      </c>
      <c r="B6" s="2">
        <v>68</v>
      </c>
      <c r="C6" s="2">
        <v>348</v>
      </c>
    </row>
    <row r="7" spans="1:3" x14ac:dyDescent="0.25">
      <c r="A7" s="2">
        <v>6</v>
      </c>
      <c r="B7" s="2">
        <v>52</v>
      </c>
      <c r="C7" s="2">
        <v>198</v>
      </c>
    </row>
    <row r="8" spans="1:3" x14ac:dyDescent="0.25">
      <c r="A8" s="2">
        <v>7</v>
      </c>
      <c r="B8" s="2">
        <v>23</v>
      </c>
      <c r="C8" s="2">
        <v>200</v>
      </c>
    </row>
    <row r="9" spans="1:3" x14ac:dyDescent="0.25">
      <c r="A9" s="2">
        <v>8</v>
      </c>
      <c r="B9" s="2">
        <v>16</v>
      </c>
      <c r="C9" s="2">
        <v>286</v>
      </c>
    </row>
    <row r="10" spans="1:3" x14ac:dyDescent="0.25">
      <c r="A10" s="2">
        <v>9</v>
      </c>
      <c r="B10" s="2">
        <v>48</v>
      </c>
      <c r="C10" s="2">
        <v>198</v>
      </c>
    </row>
    <row r="11" spans="1:3" x14ac:dyDescent="0.25">
      <c r="A11" s="2">
        <v>10</v>
      </c>
      <c r="B11" s="2">
        <v>59</v>
      </c>
      <c r="C11" s="2">
        <v>217</v>
      </c>
    </row>
    <row r="12" spans="1:3" x14ac:dyDescent="0.25">
      <c r="A12" s="2">
        <v>11</v>
      </c>
      <c r="B12" s="2">
        <v>53</v>
      </c>
      <c r="C12" s="2">
        <v>210</v>
      </c>
    </row>
    <row r="13" spans="1:3" x14ac:dyDescent="0.25">
      <c r="A13" s="2">
        <v>12</v>
      </c>
      <c r="B13" s="2">
        <v>66</v>
      </c>
      <c r="C13" s="2">
        <v>292</v>
      </c>
    </row>
    <row r="14" spans="1:3" x14ac:dyDescent="0.25">
      <c r="A14" s="2">
        <v>13</v>
      </c>
      <c r="B14" s="2">
        <v>43</v>
      </c>
      <c r="C14" s="2">
        <v>176</v>
      </c>
    </row>
    <row r="15" spans="1:3" x14ac:dyDescent="0.25">
      <c r="A15" s="2">
        <v>14</v>
      </c>
      <c r="B15" s="2">
        <v>15</v>
      </c>
      <c r="C15" s="2">
        <v>325</v>
      </c>
    </row>
    <row r="16" spans="1:3" x14ac:dyDescent="0.25">
      <c r="A16" s="2">
        <v>15</v>
      </c>
      <c r="B16" s="2">
        <v>24</v>
      </c>
      <c r="C16" s="2">
        <v>205</v>
      </c>
    </row>
    <row r="17" spans="1:3" x14ac:dyDescent="0.25">
      <c r="A17" s="2">
        <v>16</v>
      </c>
      <c r="B17" s="2">
        <v>48</v>
      </c>
      <c r="C17" s="2">
        <v>192</v>
      </c>
    </row>
    <row r="18" spans="1:3" x14ac:dyDescent="0.25">
      <c r="A18" s="2">
        <v>17</v>
      </c>
      <c r="B18" s="2">
        <v>54</v>
      </c>
      <c r="C18" s="2">
        <v>205</v>
      </c>
    </row>
    <row r="19" spans="1:3" x14ac:dyDescent="0.25">
      <c r="A19" s="2">
        <v>18</v>
      </c>
      <c r="B19" s="2">
        <v>59</v>
      </c>
      <c r="C19" s="2">
        <v>218</v>
      </c>
    </row>
    <row r="20" spans="1:3" x14ac:dyDescent="0.25">
      <c r="A20" s="2">
        <v>19</v>
      </c>
      <c r="B20" s="2">
        <v>59</v>
      </c>
      <c r="C20" s="2">
        <v>224</v>
      </c>
    </row>
    <row r="21" spans="1:3" x14ac:dyDescent="0.25">
      <c r="A21" s="2">
        <v>20</v>
      </c>
      <c r="B21" s="2">
        <v>40</v>
      </c>
      <c r="C21" s="2">
        <v>149</v>
      </c>
    </row>
    <row r="22" spans="1:3" x14ac:dyDescent="0.25">
      <c r="A22" s="2">
        <v>21</v>
      </c>
      <c r="B22" s="2">
        <v>65</v>
      </c>
      <c r="C22" s="2">
        <v>274</v>
      </c>
    </row>
    <row r="23" spans="1:3" x14ac:dyDescent="0.25">
      <c r="A23" s="2">
        <v>22</v>
      </c>
      <c r="B23" s="2">
        <v>48</v>
      </c>
      <c r="C23" s="2">
        <v>205</v>
      </c>
    </row>
    <row r="24" spans="1:3" x14ac:dyDescent="0.25">
      <c r="A24" s="2">
        <v>23</v>
      </c>
      <c r="B24" s="2">
        <v>36</v>
      </c>
      <c r="C24" s="2">
        <v>157</v>
      </c>
    </row>
    <row r="25" spans="1:3" x14ac:dyDescent="0.25">
      <c r="A25" s="2">
        <v>24</v>
      </c>
      <c r="B25" s="2">
        <v>53</v>
      </c>
      <c r="C25" s="2">
        <v>183</v>
      </c>
    </row>
    <row r="26" spans="1:3" x14ac:dyDescent="0.25">
      <c r="A26" s="2">
        <v>25</v>
      </c>
      <c r="B26" s="2">
        <v>68</v>
      </c>
      <c r="C26" s="2">
        <v>337</v>
      </c>
    </row>
    <row r="27" spans="1:3" x14ac:dyDescent="0.25">
      <c r="A27" s="2">
        <v>26</v>
      </c>
      <c r="B27" s="2">
        <v>44</v>
      </c>
      <c r="C27" s="2">
        <v>181</v>
      </c>
    </row>
    <row r="28" spans="1:3" x14ac:dyDescent="0.25">
      <c r="A28" s="2">
        <v>27</v>
      </c>
      <c r="B28" s="2">
        <v>54</v>
      </c>
      <c r="C28" s="2">
        <v>187</v>
      </c>
    </row>
    <row r="29" spans="1:3" x14ac:dyDescent="0.25">
      <c r="A29" s="2">
        <v>28</v>
      </c>
      <c r="B29" s="2">
        <v>17</v>
      </c>
      <c r="C29" s="2">
        <v>238</v>
      </c>
    </row>
    <row r="30" spans="1:3" x14ac:dyDescent="0.25">
      <c r="A30" s="2">
        <v>29</v>
      </c>
      <c r="B30" s="2">
        <v>35</v>
      </c>
      <c r="C30" s="2">
        <v>161</v>
      </c>
    </row>
    <row r="31" spans="1:3" x14ac:dyDescent="0.25">
      <c r="A31" s="2">
        <v>30</v>
      </c>
      <c r="B31" s="2">
        <v>21</v>
      </c>
      <c r="C31" s="2">
        <v>252</v>
      </c>
    </row>
    <row r="32" spans="1:3" x14ac:dyDescent="0.25">
      <c r="A32" s="2">
        <v>31</v>
      </c>
      <c r="B32" s="2">
        <v>34</v>
      </c>
      <c r="C32" s="2">
        <v>194</v>
      </c>
    </row>
    <row r="33" spans="1:23" x14ac:dyDescent="0.25">
      <c r="A33" s="2">
        <v>32</v>
      </c>
      <c r="B33" s="2">
        <v>58</v>
      </c>
      <c r="C33" s="2">
        <v>273</v>
      </c>
    </row>
    <row r="34" spans="1:23" x14ac:dyDescent="0.25">
      <c r="A34" s="2">
        <v>33</v>
      </c>
      <c r="B34" s="2">
        <v>20</v>
      </c>
      <c r="C34" s="2">
        <v>303</v>
      </c>
    </row>
    <row r="35" spans="1:23" x14ac:dyDescent="0.25">
      <c r="A35" s="2">
        <v>34</v>
      </c>
      <c r="B35" s="2">
        <v>13</v>
      </c>
      <c r="C35" s="2">
        <v>314</v>
      </c>
    </row>
    <row r="36" spans="1:23" x14ac:dyDescent="0.25">
      <c r="A36" s="2">
        <v>35</v>
      </c>
      <c r="B36" s="2">
        <v>45</v>
      </c>
      <c r="C36" s="2">
        <v>168</v>
      </c>
    </row>
    <row r="37" spans="1:23" x14ac:dyDescent="0.25">
      <c r="A37" s="2">
        <v>36</v>
      </c>
      <c r="B37" s="2">
        <v>52</v>
      </c>
      <c r="C37" s="2">
        <v>159</v>
      </c>
    </row>
    <row r="38" spans="1:23" x14ac:dyDescent="0.25">
      <c r="A38" s="2">
        <v>37</v>
      </c>
      <c r="B38" s="2">
        <v>69</v>
      </c>
      <c r="C38" s="2">
        <v>355</v>
      </c>
    </row>
    <row r="39" spans="1:23" x14ac:dyDescent="0.25">
      <c r="A39" s="2">
        <v>38</v>
      </c>
      <c r="B39" s="2">
        <v>14</v>
      </c>
      <c r="C39" s="2">
        <v>307</v>
      </c>
    </row>
    <row r="40" spans="1:23" x14ac:dyDescent="0.25">
      <c r="A40" s="2">
        <v>39</v>
      </c>
      <c r="B40" s="2">
        <v>14</v>
      </c>
      <c r="C40" s="2">
        <v>297</v>
      </c>
    </row>
    <row r="41" spans="1:23" x14ac:dyDescent="0.25">
      <c r="A41" s="2">
        <v>40</v>
      </c>
      <c r="B41" s="2">
        <v>26</v>
      </c>
      <c r="C41" s="2">
        <v>212</v>
      </c>
    </row>
    <row r="42" spans="1:23" x14ac:dyDescent="0.25">
      <c r="A42" s="2">
        <v>41</v>
      </c>
      <c r="B42" s="2">
        <v>52</v>
      </c>
      <c r="C42" s="2">
        <v>233</v>
      </c>
    </row>
    <row r="43" spans="1:23" x14ac:dyDescent="0.25">
      <c r="A43" s="2">
        <v>42</v>
      </c>
      <c r="B43" s="2">
        <v>53</v>
      </c>
      <c r="C43" s="2">
        <v>207</v>
      </c>
    </row>
    <row r="44" spans="1:23" x14ac:dyDescent="0.25">
      <c r="A44" s="2">
        <v>43</v>
      </c>
      <c r="B44" s="2">
        <v>56</v>
      </c>
      <c r="C44" s="2">
        <v>193</v>
      </c>
    </row>
    <row r="45" spans="1:23" x14ac:dyDescent="0.25">
      <c r="A45" s="2">
        <v>44</v>
      </c>
      <c r="B45" s="2">
        <v>26</v>
      </c>
      <c r="C45" s="2">
        <v>225</v>
      </c>
    </row>
    <row r="46" spans="1:23" x14ac:dyDescent="0.25">
      <c r="A46" s="2">
        <v>45</v>
      </c>
      <c r="B46" s="2">
        <v>23</v>
      </c>
      <c r="C46" s="2">
        <v>263</v>
      </c>
      <c r="W46" t="s">
        <v>33</v>
      </c>
    </row>
    <row r="47" spans="1:23" x14ac:dyDescent="0.25">
      <c r="A47" s="2">
        <v>46</v>
      </c>
      <c r="B47" s="2">
        <v>23</v>
      </c>
      <c r="C47" s="2">
        <v>268</v>
      </c>
      <c r="W47">
        <f>TINV(0.1,15)</f>
        <v>1.7530503556925723</v>
      </c>
    </row>
    <row r="48" spans="1:23" x14ac:dyDescent="0.25">
      <c r="A48" s="2">
        <v>47</v>
      </c>
      <c r="B48" s="2">
        <v>23</v>
      </c>
      <c r="C48" s="2">
        <v>254</v>
      </c>
      <c r="W48">
        <f>TINV(0.1, 14)</f>
        <v>1.7613101357748921</v>
      </c>
    </row>
    <row r="49" spans="1:23" x14ac:dyDescent="0.25">
      <c r="A49" s="2">
        <v>48</v>
      </c>
      <c r="B49" s="2">
        <v>65</v>
      </c>
      <c r="C49" s="2">
        <v>285</v>
      </c>
      <c r="W49">
        <f>TINV(0.1, 12)</f>
        <v>1.7822875556493194</v>
      </c>
    </row>
    <row r="50" spans="1:23" x14ac:dyDescent="0.25">
      <c r="A50" s="2">
        <v>49</v>
      </c>
      <c r="B50" s="2">
        <v>64</v>
      </c>
      <c r="C50" s="2">
        <v>283</v>
      </c>
      <c r="W50">
        <f>TINV(0.1, 17)</f>
        <v>1.7396067260750732</v>
      </c>
    </row>
    <row r="51" spans="1:23" x14ac:dyDescent="0.25">
      <c r="A51" s="2">
        <v>50</v>
      </c>
      <c r="B51" s="2">
        <v>48</v>
      </c>
      <c r="C51" s="2">
        <v>172</v>
      </c>
      <c r="W51">
        <f>TINV(0.1, 21)</f>
        <v>1.7207429028118781</v>
      </c>
    </row>
    <row r="52" spans="1:23" x14ac:dyDescent="0.25">
      <c r="A52" s="2">
        <v>51</v>
      </c>
      <c r="B52" s="2">
        <v>33</v>
      </c>
      <c r="C52" s="2">
        <v>207</v>
      </c>
    </row>
    <row r="53" spans="1:23" x14ac:dyDescent="0.25">
      <c r="A53" s="2">
        <v>52</v>
      </c>
      <c r="B53" s="2">
        <v>60</v>
      </c>
      <c r="C53" s="2">
        <v>269</v>
      </c>
    </row>
    <row r="54" spans="1:23" x14ac:dyDescent="0.25">
      <c r="A54" s="2">
        <v>53</v>
      </c>
      <c r="B54" s="2">
        <v>18</v>
      </c>
      <c r="C54" s="2">
        <v>233</v>
      </c>
    </row>
    <row r="55" spans="1:23" x14ac:dyDescent="0.25">
      <c r="A55" s="2">
        <v>54</v>
      </c>
      <c r="B55" s="2">
        <v>14</v>
      </c>
      <c r="C55" s="2">
        <v>255</v>
      </c>
    </row>
    <row r="56" spans="1:23" x14ac:dyDescent="0.25">
      <c r="A56" s="2">
        <v>55</v>
      </c>
      <c r="B56" s="2">
        <v>57</v>
      </c>
      <c r="C56" s="2">
        <v>208</v>
      </c>
    </row>
    <row r="57" spans="1:23" x14ac:dyDescent="0.25">
      <c r="A57" s="2">
        <v>56</v>
      </c>
      <c r="B57" s="2">
        <v>41</v>
      </c>
      <c r="C57" s="2">
        <v>196</v>
      </c>
    </row>
    <row r="58" spans="1:23" x14ac:dyDescent="0.25">
      <c r="A58" s="2">
        <v>57</v>
      </c>
      <c r="B58" s="2">
        <v>20</v>
      </c>
      <c r="C58" s="2">
        <v>252</v>
      </c>
    </row>
    <row r="59" spans="1:23" x14ac:dyDescent="0.25">
      <c r="A59" s="2">
        <v>58</v>
      </c>
      <c r="B59" s="2">
        <v>35</v>
      </c>
      <c r="C59" s="2">
        <v>168</v>
      </c>
    </row>
    <row r="60" spans="1:23" x14ac:dyDescent="0.25">
      <c r="A60" s="2">
        <v>59</v>
      </c>
      <c r="B60" s="2">
        <v>41</v>
      </c>
      <c r="C60" s="2">
        <v>154</v>
      </c>
    </row>
    <row r="61" spans="1:23" x14ac:dyDescent="0.25">
      <c r="A61" s="2">
        <v>60</v>
      </c>
      <c r="B61" s="2">
        <v>17</v>
      </c>
      <c r="C61" s="2">
        <v>234</v>
      </c>
    </row>
    <row r="62" spans="1:23" x14ac:dyDescent="0.25">
      <c r="A62" s="2">
        <v>61</v>
      </c>
      <c r="B62" s="2">
        <v>65</v>
      </c>
      <c r="C62" s="2">
        <v>286</v>
      </c>
    </row>
    <row r="63" spans="1:23" x14ac:dyDescent="0.25">
      <c r="A63" s="2">
        <v>62</v>
      </c>
      <c r="B63" s="2">
        <v>11</v>
      </c>
      <c r="C63" s="2">
        <v>322</v>
      </c>
    </row>
    <row r="64" spans="1:23" x14ac:dyDescent="0.25">
      <c r="A64" s="2">
        <v>63</v>
      </c>
      <c r="B64" s="2">
        <v>51</v>
      </c>
      <c r="C64" s="2">
        <v>199</v>
      </c>
    </row>
    <row r="65" spans="1:3" x14ac:dyDescent="0.25">
      <c r="A65" s="2">
        <v>64</v>
      </c>
      <c r="B65" s="2">
        <v>36</v>
      </c>
      <c r="C65" s="2">
        <v>158</v>
      </c>
    </row>
    <row r="66" spans="1:3" x14ac:dyDescent="0.25">
      <c r="A66" s="2">
        <v>65</v>
      </c>
      <c r="B66" s="2">
        <v>19</v>
      </c>
      <c r="C66" s="2">
        <v>218</v>
      </c>
    </row>
    <row r="67" spans="1:3" x14ac:dyDescent="0.25">
      <c r="A67" s="2">
        <v>66</v>
      </c>
      <c r="B67" s="2">
        <v>49</v>
      </c>
      <c r="C67" s="2">
        <v>243</v>
      </c>
    </row>
    <row r="68" spans="1:3" x14ac:dyDescent="0.25">
      <c r="A68" s="2">
        <v>67</v>
      </c>
      <c r="B68" s="2">
        <v>63</v>
      </c>
      <c r="C68" s="2">
        <v>271</v>
      </c>
    </row>
    <row r="69" spans="1:3" x14ac:dyDescent="0.25">
      <c r="A69" s="2">
        <v>68</v>
      </c>
      <c r="B69" s="2">
        <v>62</v>
      </c>
      <c r="C69" s="2">
        <v>264</v>
      </c>
    </row>
    <row r="70" spans="1:3" x14ac:dyDescent="0.25">
      <c r="A70" s="2">
        <v>69</v>
      </c>
      <c r="B70" s="2">
        <v>22</v>
      </c>
      <c r="C70" s="2">
        <v>177</v>
      </c>
    </row>
    <row r="71" spans="1:3" x14ac:dyDescent="0.25">
      <c r="A71" s="2">
        <v>70</v>
      </c>
      <c r="B71" s="2">
        <v>54</v>
      </c>
      <c r="C71" s="2">
        <v>203</v>
      </c>
    </row>
    <row r="72" spans="1:3" x14ac:dyDescent="0.25">
      <c r="A72" s="2">
        <v>71</v>
      </c>
      <c r="B72" s="2">
        <v>68</v>
      </c>
      <c r="C72" s="2">
        <v>304</v>
      </c>
    </row>
    <row r="73" spans="1:3" x14ac:dyDescent="0.25">
      <c r="A73" s="2">
        <v>72</v>
      </c>
      <c r="B73" s="2">
        <v>60</v>
      </c>
      <c r="C73" s="2">
        <v>238</v>
      </c>
    </row>
    <row r="74" spans="1:3" x14ac:dyDescent="0.25">
      <c r="A74" s="2">
        <v>73</v>
      </c>
      <c r="B74" s="2">
        <v>20</v>
      </c>
      <c r="C74" s="2">
        <v>271</v>
      </c>
    </row>
    <row r="75" spans="1:3" x14ac:dyDescent="0.25">
      <c r="A75" s="2">
        <v>74</v>
      </c>
      <c r="B75" s="2">
        <v>15</v>
      </c>
      <c r="C75" s="2">
        <v>254</v>
      </c>
    </row>
    <row r="76" spans="1:3" x14ac:dyDescent="0.25">
      <c r="A76" s="2">
        <v>75</v>
      </c>
      <c r="B76" s="2">
        <v>57</v>
      </c>
      <c r="C76" s="2">
        <v>234</v>
      </c>
    </row>
    <row r="77" spans="1:3" x14ac:dyDescent="0.25">
      <c r="A77" s="2">
        <v>76</v>
      </c>
      <c r="B77" s="2">
        <v>37</v>
      </c>
      <c r="C77" s="2">
        <v>220</v>
      </c>
    </row>
    <row r="78" spans="1:3" x14ac:dyDescent="0.25">
      <c r="A78" s="2">
        <v>77</v>
      </c>
      <c r="B78" s="2">
        <v>51</v>
      </c>
      <c r="C78" s="2">
        <v>175</v>
      </c>
    </row>
    <row r="79" spans="1:3" x14ac:dyDescent="0.25">
      <c r="A79" s="2">
        <v>78</v>
      </c>
      <c r="B79" s="2">
        <v>35</v>
      </c>
      <c r="C79" s="2">
        <v>165</v>
      </c>
    </row>
    <row r="80" spans="1:3" x14ac:dyDescent="0.25">
      <c r="A80" s="2">
        <v>79</v>
      </c>
      <c r="B80" s="2">
        <v>33</v>
      </c>
      <c r="C80" s="2">
        <v>219</v>
      </c>
    </row>
    <row r="81" spans="1:3" x14ac:dyDescent="0.25">
      <c r="A81" s="2">
        <v>80</v>
      </c>
      <c r="B81" s="2">
        <v>40</v>
      </c>
      <c r="C81" s="2">
        <v>212</v>
      </c>
    </row>
    <row r="82" spans="1:3" x14ac:dyDescent="0.25">
      <c r="A82" s="2">
        <v>81</v>
      </c>
      <c r="B82" s="2">
        <v>20</v>
      </c>
      <c r="C82" s="2">
        <v>260</v>
      </c>
    </row>
    <row r="83" spans="1:3" x14ac:dyDescent="0.25">
      <c r="A83" s="2">
        <v>82</v>
      </c>
      <c r="B83" s="2">
        <v>25</v>
      </c>
      <c r="C83" s="2">
        <v>160</v>
      </c>
    </row>
    <row r="84" spans="1:3" x14ac:dyDescent="0.25">
      <c r="A84" s="2">
        <v>83</v>
      </c>
      <c r="B84" s="2">
        <v>43</v>
      </c>
      <c r="C84" s="2">
        <v>193</v>
      </c>
    </row>
    <row r="85" spans="1:3" x14ac:dyDescent="0.25">
      <c r="A85" s="2">
        <v>84</v>
      </c>
      <c r="B85" s="2">
        <v>48</v>
      </c>
      <c r="C85" s="2">
        <v>163</v>
      </c>
    </row>
    <row r="86" spans="1:3" x14ac:dyDescent="0.25">
      <c r="A86" s="2">
        <v>85</v>
      </c>
      <c r="B86" s="2">
        <v>61</v>
      </c>
      <c r="C86" s="2">
        <v>276</v>
      </c>
    </row>
    <row r="87" spans="1:3" x14ac:dyDescent="0.25">
      <c r="A87" s="2">
        <v>86</v>
      </c>
      <c r="B87" s="2">
        <v>68</v>
      </c>
      <c r="C87" s="2">
        <v>288</v>
      </c>
    </row>
    <row r="88" spans="1:3" x14ac:dyDescent="0.25">
      <c r="A88" s="2">
        <v>87</v>
      </c>
      <c r="B88" s="2">
        <v>16</v>
      </c>
      <c r="C88" s="2">
        <v>262</v>
      </c>
    </row>
    <row r="89" spans="1:3" x14ac:dyDescent="0.25">
      <c r="A89" s="2">
        <v>88</v>
      </c>
      <c r="B89" s="2">
        <v>44</v>
      </c>
      <c r="C89" s="2">
        <v>195</v>
      </c>
    </row>
    <row r="90" spans="1:3" x14ac:dyDescent="0.25">
      <c r="A90" s="2">
        <v>89</v>
      </c>
      <c r="B90" s="2">
        <v>24</v>
      </c>
      <c r="C90" s="2">
        <v>225</v>
      </c>
    </row>
    <row r="91" spans="1:3" x14ac:dyDescent="0.25">
      <c r="A91" s="2">
        <v>90</v>
      </c>
      <c r="B91" s="2">
        <v>56</v>
      </c>
      <c r="C91" s="2">
        <v>229</v>
      </c>
    </row>
    <row r="92" spans="1:3" x14ac:dyDescent="0.25">
      <c r="A92" s="2">
        <v>91</v>
      </c>
      <c r="B92" s="2">
        <v>35</v>
      </c>
      <c r="C92" s="2">
        <v>194</v>
      </c>
    </row>
    <row r="93" spans="1:3" x14ac:dyDescent="0.25">
      <c r="A93" s="2">
        <v>92</v>
      </c>
      <c r="B93" s="2">
        <v>42</v>
      </c>
      <c r="C93" s="2">
        <v>210</v>
      </c>
    </row>
    <row r="94" spans="1:3" x14ac:dyDescent="0.25">
      <c r="A94" s="2">
        <v>93</v>
      </c>
      <c r="B94" s="2">
        <v>30</v>
      </c>
      <c r="C94" s="2">
        <v>205</v>
      </c>
    </row>
    <row r="95" spans="1:3" x14ac:dyDescent="0.25">
      <c r="A95" s="2">
        <v>94</v>
      </c>
      <c r="B95" s="2">
        <v>58</v>
      </c>
      <c r="C95" s="2">
        <v>202</v>
      </c>
    </row>
    <row r="96" spans="1:3" x14ac:dyDescent="0.25">
      <c r="A96" s="2">
        <v>95</v>
      </c>
      <c r="B96" s="2">
        <v>52</v>
      </c>
      <c r="C96" s="2">
        <v>228</v>
      </c>
    </row>
    <row r="97" spans="1:3" x14ac:dyDescent="0.25">
      <c r="A97" s="2">
        <v>96</v>
      </c>
      <c r="B97" s="2">
        <v>39</v>
      </c>
      <c r="C97" s="2">
        <v>181</v>
      </c>
    </row>
    <row r="98" spans="1:3" x14ac:dyDescent="0.25">
      <c r="A98" s="2">
        <v>97</v>
      </c>
      <c r="B98" s="2">
        <v>43</v>
      </c>
      <c r="C98" s="2">
        <v>139</v>
      </c>
    </row>
    <row r="99" spans="1:3" x14ac:dyDescent="0.25">
      <c r="A99" s="2">
        <v>98</v>
      </c>
      <c r="B99" s="2">
        <v>17</v>
      </c>
      <c r="C99" s="2">
        <v>262</v>
      </c>
    </row>
    <row r="100" spans="1:3" x14ac:dyDescent="0.25">
      <c r="A100" s="2">
        <v>99</v>
      </c>
      <c r="B100" s="2">
        <v>62</v>
      </c>
      <c r="C100" s="2">
        <v>249</v>
      </c>
    </row>
    <row r="101" spans="1:3" x14ac:dyDescent="0.25">
      <c r="A101" s="2">
        <v>100</v>
      </c>
      <c r="B101" s="2">
        <v>10</v>
      </c>
      <c r="C101" s="2">
        <v>325</v>
      </c>
    </row>
    <row r="126" spans="6:10" x14ac:dyDescent="0.25">
      <c r="F126" s="3">
        <v>97</v>
      </c>
      <c r="G126" s="3">
        <v>229.12148191302029</v>
      </c>
      <c r="H126" s="3">
        <v>-90.12148191302029</v>
      </c>
      <c r="I126" s="2">
        <v>139</v>
      </c>
      <c r="J126" s="2">
        <v>43</v>
      </c>
    </row>
    <row r="127" spans="6:10" x14ac:dyDescent="0.25">
      <c r="F127" s="3">
        <v>98</v>
      </c>
      <c r="G127" s="3">
        <v>231.86549530305254</v>
      </c>
      <c r="H127" s="3">
        <v>30.134504696947459</v>
      </c>
      <c r="I127" s="2">
        <v>262</v>
      </c>
      <c r="J127" s="2">
        <v>17</v>
      </c>
    </row>
    <row r="128" spans="6:10" x14ac:dyDescent="0.25">
      <c r="F128" s="3">
        <v>99</v>
      </c>
      <c r="G128" s="3">
        <v>227.11624135876596</v>
      </c>
      <c r="H128" s="3">
        <v>21.883758641234039</v>
      </c>
      <c r="I128" s="2">
        <v>249</v>
      </c>
      <c r="J128" s="2">
        <v>62</v>
      </c>
    </row>
    <row r="129" spans="6:10" ht="15.75" thickBot="1" x14ac:dyDescent="0.3">
      <c r="F129" s="4">
        <v>100</v>
      </c>
      <c r="G129" s="4">
        <v>232.60426813883046</v>
      </c>
      <c r="H129" s="4">
        <v>92.395731861169537</v>
      </c>
      <c r="I129" s="2">
        <v>325</v>
      </c>
      <c r="J129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Analysis of Residuals</vt:lpstr>
      <vt:lpstr>Female Marathon 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pcjones</dc:creator>
  <cp:lastModifiedBy>jones</cp:lastModifiedBy>
  <dcterms:created xsi:type="dcterms:W3CDTF">2012-10-18T16:57:14Z</dcterms:created>
  <dcterms:modified xsi:type="dcterms:W3CDTF">2016-10-17T18:06:20Z</dcterms:modified>
</cp:coreProperties>
</file>