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16\Fall 2015\Homework Answers\"/>
    </mc:Choice>
  </mc:AlternateContent>
  <bookViews>
    <workbookView xWindow="360" yWindow="90" windowWidth="11355" windowHeight="8190" activeTab="2"/>
  </bookViews>
  <sheets>
    <sheet name="Problem 1" sheetId="2" r:id="rId1"/>
    <sheet name="Problem 2" sheetId="9" r:id="rId2"/>
    <sheet name="Problems 3 - 8" sheetId="6" r:id="rId3"/>
  </sheets>
  <externalReferences>
    <externalReference r:id="rId4"/>
  </externalReferences>
  <calcPr calcId="152511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H60" i="2" l="1"/>
  <c r="D13" i="9"/>
  <c r="D5" i="9"/>
  <c r="D6" i="9"/>
  <c r="D7" i="9"/>
  <c r="D8" i="9"/>
  <c r="D9" i="9"/>
  <c r="D10" i="9"/>
  <c r="D4" i="9"/>
  <c r="M102" i="6"/>
  <c r="M101" i="6"/>
  <c r="K106" i="6"/>
  <c r="K109" i="6" s="1"/>
  <c r="J106" i="6"/>
  <c r="J110" i="6" s="1"/>
  <c r="T47" i="6"/>
  <c r="T45" i="6"/>
  <c r="T26" i="6"/>
  <c r="T24" i="6"/>
  <c r="O23" i="6"/>
  <c r="N72" i="6"/>
  <c r="H82" i="2"/>
  <c r="I58" i="2"/>
  <c r="H62" i="2" s="1"/>
  <c r="H71" i="2"/>
  <c r="H72" i="2"/>
  <c r="H59" i="2"/>
  <c r="I11" i="2"/>
  <c r="I12" i="2" s="1"/>
  <c r="H11" i="2"/>
  <c r="H12" i="2" s="1"/>
  <c r="I4" i="2"/>
  <c r="H4" i="2"/>
  <c r="H66" i="2" s="1"/>
  <c r="H36" i="2"/>
  <c r="I36" i="2"/>
  <c r="K80" i="6"/>
  <c r="N71" i="6"/>
  <c r="N77" i="6"/>
  <c r="J80" i="6"/>
  <c r="N75" i="6"/>
  <c r="N74" i="6"/>
  <c r="N73" i="6"/>
  <c r="N76" i="6"/>
  <c r="H73" i="2" l="1"/>
  <c r="K110" i="6"/>
  <c r="J109" i="6"/>
  <c r="J117" i="6" s="1"/>
  <c r="J89" i="6"/>
  <c r="J88" i="6"/>
  <c r="J87" i="6"/>
  <c r="J86" i="6"/>
  <c r="J85" i="6"/>
  <c r="J84" i="6"/>
  <c r="J83" i="6"/>
  <c r="K89" i="6"/>
  <c r="K88" i="6"/>
  <c r="K87" i="6"/>
  <c r="K86" i="6"/>
  <c r="K85" i="6"/>
  <c r="K84" i="6"/>
  <c r="K83" i="6"/>
  <c r="H83" i="2" l="1"/>
  <c r="H77" i="2"/>
  <c r="J92" i="6"/>
</calcChain>
</file>

<file path=xl/sharedStrings.xml><?xml version="1.0" encoding="utf-8"?>
<sst xmlns="http://schemas.openxmlformats.org/spreadsheetml/2006/main" count="319" uniqueCount="118">
  <si>
    <t>Age</t>
  </si>
  <si>
    <t>Weight (in pounds)</t>
  </si>
  <si>
    <t>sample mean</t>
  </si>
  <si>
    <t>20s</t>
  </si>
  <si>
    <t>30s</t>
  </si>
  <si>
    <t>sample standard deviation</t>
  </si>
  <si>
    <t>As listed above:</t>
  </si>
  <si>
    <t>sample variance</t>
  </si>
  <si>
    <t>that the average weight of men in their 30s is higher than the average</t>
  </si>
  <si>
    <t>weight of men in their 20s?</t>
  </si>
  <si>
    <t>differs from that of men in their 30s?</t>
  </si>
  <si>
    <t>Grand Total</t>
  </si>
  <si>
    <t>Since t-stat &lt; t-critical, we do not reject null hypothesis.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</si>
  <si>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</si>
  <si>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</si>
  <si>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</si>
  <si>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</si>
  <si>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</si>
  <si>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</si>
  <si>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</si>
  <si>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</si>
  <si>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</si>
  <si>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</si>
  <si>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</si>
  <si>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</si>
  <si>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</si>
  <si>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F-Test Two-Sample for Variances</t>
  </si>
  <si>
    <t>F</t>
  </si>
  <si>
    <t>P(F&lt;=f) one-tail</t>
  </si>
  <si>
    <t>F Critical one-tail</t>
  </si>
  <si>
    <t>Do Not reject null Hypothesis</t>
  </si>
  <si>
    <t>Test statistic = (n-1)sample var/var under null =</t>
  </si>
  <si>
    <t xml:space="preserve">Note:  count = </t>
  </si>
  <si>
    <t>Use chi-square test:  null hypothesis is std deviation of weights &lt;= 15</t>
  </si>
  <si>
    <t>overall average is:</t>
  </si>
  <si>
    <t>Null Hypothesis:  average weight &lt;= 120</t>
  </si>
  <si>
    <t xml:space="preserve">sample std deviation = </t>
  </si>
  <si>
    <t>Reject null hypothesis when test statistic &gt;= 68.67</t>
  </si>
  <si>
    <t xml:space="preserve">standard error = </t>
  </si>
  <si>
    <t>Employee</t>
  </si>
  <si>
    <t>Gender</t>
  </si>
  <si>
    <t>Years of Service.</t>
  </si>
  <si>
    <t>Years Undergraduate Study</t>
  </si>
  <si>
    <t>Graduate Degree?</t>
  </si>
  <si>
    <t>CPA?</t>
  </si>
  <si>
    <t>Age Group</t>
  </si>
  <si>
    <t>N</t>
  </si>
  <si>
    <t>Y</t>
  </si>
  <si>
    <t>M</t>
  </si>
  <si>
    <t>Age Range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</si>
  <si>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</si>
  <si>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</si>
  <si>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</si>
  <si>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</si>
  <si>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</si>
  <si>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</si>
  <si>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</si>
  <si>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</si>
  <si>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over 60</t>
  </si>
  <si>
    <t>Reject Null Hypothesis</t>
  </si>
  <si>
    <t>Fail to reject Null Hypothesis</t>
  </si>
  <si>
    <t>Count of Employee</t>
  </si>
  <si>
    <t>Expected Counts</t>
  </si>
  <si>
    <t>chitest</t>
  </si>
  <si>
    <t>Cannot reject null hypothesis</t>
  </si>
  <si>
    <t>Note:  Two-tailed test.</t>
  </si>
  <si>
    <t>Rejection region:  &lt; -2.1 or &gt; +2.1</t>
  </si>
  <si>
    <t>Null Hypothesis is:  true mean men in 30's &lt;= true mean men in 20's</t>
  </si>
  <si>
    <t>Null Hypothesis:  variance of 20's &lt;= variance of 30's</t>
  </si>
  <si>
    <t>Note that we get virtually the same answer using tinv as we do using normsinv</t>
  </si>
  <si>
    <t xml:space="preserve"> What is the average weight of men in their 20s? In their 30s?</t>
  </si>
  <si>
    <t>(a) Based on this sample, can you conclude (at a 95% confidence level)</t>
  </si>
  <si>
    <t xml:space="preserve">(b) Can you conclude (at the 95% level) that the standard deviation of weights of men in their 20s </t>
  </si>
  <si>
    <t>What are the standard deviations of men in the two groups?</t>
  </si>
  <si>
    <t>c. Can you conclude (at the 95% level) that the standard deviation of weights of men in the 30’s is greater than 15?</t>
  </si>
  <si>
    <t xml:space="preserve">chiinv(.05,51) = </t>
  </si>
  <si>
    <t>d. Can you conclude (at the 95% level) that the average weight of men in either their 20’s or 30’s (use the entire sample) is greater than 120?</t>
  </si>
  <si>
    <t>Test Statistic = (sample mean - hypothesized mean)/SSE</t>
  </si>
  <si>
    <t xml:space="preserve">Sample size = </t>
  </si>
  <si>
    <t xml:space="preserve">critical value = normsinv(.95) = </t>
  </si>
  <si>
    <t>We would reject null hypothesis for anything over 1.645</t>
  </si>
  <si>
    <t>If we use T-test:</t>
  </si>
  <si>
    <t xml:space="preserve">critical value  =  tinv(.10, 99)  =  </t>
  </si>
  <si>
    <t xml:space="preserve">Reject for any level of significance &lt; </t>
  </si>
  <si>
    <t>Problem 3.    Years of Service the Same?</t>
  </si>
  <si>
    <t>Problem 4.  Avg. years of undergrad study the same?</t>
  </si>
  <si>
    <t>Female</t>
  </si>
  <si>
    <t>Male</t>
  </si>
  <si>
    <t>Problem 5.  Variance in years of service the same?</t>
  </si>
  <si>
    <t>Problem 6.  Is Female Variance in years of service &gt;14?</t>
  </si>
  <si>
    <t>Null Hypothesis:  Female Variance in years of service &lt;= 14</t>
  </si>
  <si>
    <t xml:space="preserve">Test Statistic = (n-1)*19.3022/14  =  </t>
  </si>
  <si>
    <t>Critical Value:</t>
  </si>
  <si>
    <t>Fail to Reject Null Hypothesis since test statistic &lt; critical value</t>
  </si>
  <si>
    <t>Problem 7.  Is Male Variance in years of service &lt; 70?</t>
  </si>
  <si>
    <t>Null Hypothesis:  Male Variance in years of service &gt;= 70</t>
  </si>
  <si>
    <t xml:space="preserve">Test Statistic = (n-1)*70.3974/70  =  </t>
  </si>
  <si>
    <t>Fail to reject null hypothesis since test statistic &gt; critical value</t>
  </si>
  <si>
    <t>Note:  the direction of this test is opposite that of problem 6.</t>
  </si>
  <si>
    <t>Problem 8a.  Conduct a chi-square test of indepdndence to see if age-group is independent of having a graduate degree.</t>
  </si>
  <si>
    <t>Problem 8b.  Conduct a chi-square test of indepdndence to see if years of service is independent of gender.</t>
  </si>
  <si>
    <t>Count of Gender</t>
  </si>
  <si>
    <t>Expected counts</t>
  </si>
  <si>
    <t>0-15</t>
  </si>
  <si>
    <t>16-31</t>
  </si>
  <si>
    <t>Reject at the 95% significance level---or even at the 99% significance level.</t>
  </si>
  <si>
    <t>Weight</t>
  </si>
  <si>
    <t>90-120</t>
  </si>
  <si>
    <t>120-150</t>
  </si>
  <si>
    <t>150-180</t>
  </si>
  <si>
    <t>180-210</t>
  </si>
  <si>
    <t>210-240</t>
  </si>
  <si>
    <t>240-270</t>
  </si>
  <si>
    <t>270-300</t>
  </si>
  <si>
    <t>Actual Count</t>
  </si>
  <si>
    <t>Expected count</t>
  </si>
  <si>
    <t>p-value:</t>
  </si>
  <si>
    <t xml:space="preserve">Also, p-value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</si>
</sst>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2"/>
      <color rgb="FFFF0000"/>
      <name val="Times New Roman"/>
      <family val="1"/>
    </font>
    <font>
      <b/>
      <u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0" borderId="0" xfId="0" applyNumberFormat="1"/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6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8" fillId="0" borderId="5" xfId="0" applyFont="1" applyFill="1" applyBorder="1" applyAlignment="1"/>
    <xf numFmtId="0" fontId="10" fillId="0" borderId="0" xfId="0" applyFont="1"/>
    <xf numFmtId="0" fontId="11" fillId="0" borderId="0" xfId="0" applyFont="1"/>
    <xf numFmtId="0" fontId="3" fillId="0" borderId="13" xfId="0" applyFont="1" applyBorder="1"/>
    <xf numFmtId="0" fontId="6" fillId="0" borderId="13" xfId="0" applyFont="1" applyBorder="1"/>
    <xf numFmtId="0" fontId="8" fillId="0" borderId="1" xfId="0" pivotButton="1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" xfId="0" applyFont="1" applyBorder="1"/>
    <xf numFmtId="0" fontId="8" fillId="0" borderId="11" xfId="0" applyFont="1" applyBorder="1"/>
    <xf numFmtId="0" fontId="8" fillId="0" borderId="2" xfId="0" applyFont="1" applyBorder="1"/>
    <xf numFmtId="0" fontId="8" fillId="0" borderId="1" xfId="0" applyNumberFormat="1" applyFont="1" applyBorder="1"/>
    <xf numFmtId="0" fontId="8" fillId="0" borderId="11" xfId="0" applyNumberFormat="1" applyFont="1" applyBorder="1"/>
    <xf numFmtId="0" fontId="8" fillId="0" borderId="2" xfId="0" applyNumberFormat="1" applyFont="1" applyBorder="1"/>
    <xf numFmtId="0" fontId="8" fillId="0" borderId="4" xfId="0" applyFont="1" applyBorder="1"/>
    <xf numFmtId="0" fontId="8" fillId="0" borderId="4" xfId="0" applyNumberFormat="1" applyFont="1" applyBorder="1"/>
    <xf numFmtId="0" fontId="8" fillId="0" borderId="0" xfId="0" applyNumberFormat="1" applyFont="1"/>
    <xf numFmtId="0" fontId="8" fillId="0" borderId="7" xfId="0" applyNumberFormat="1" applyFont="1" applyBorder="1"/>
    <xf numFmtId="0" fontId="8" fillId="0" borderId="3" xfId="0" applyFont="1" applyBorder="1"/>
    <xf numFmtId="0" fontId="8" fillId="0" borderId="3" xfId="0" applyNumberFormat="1" applyFont="1" applyBorder="1"/>
    <xf numFmtId="0" fontId="8" fillId="0" borderId="12" xfId="0" applyNumberFormat="1" applyFont="1" applyBorder="1"/>
    <xf numFmtId="0" fontId="8" fillId="0" borderId="8" xfId="0" applyNumberFormat="1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FF0000"/>
      </font>
    </dxf>
    <dxf>
      <font>
        <b/>
      </font>
    </dxf>
    <dxf>
      <font>
        <color rgb="FFFF0000"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85189308662981"/>
          <c:y val="0.13227581574392228"/>
          <c:w val="0.63305495299083403"/>
          <c:h val="0.65079701346009899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'[1]data + chart'!$A$4:$A$53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'[1]data + chart'!$D$4:$D$53</c:f>
              <c:numCache>
                <c:formatCode>General</c:formatCode>
                <c:ptCount val="50"/>
              </c:numCache>
            </c:numRef>
          </c:yVal>
          <c:smooth val="0"/>
        </c:ser>
        <c:ser>
          <c:idx val="3"/>
          <c:order val="1"/>
          <c:spPr>
            <a:ln w="38100">
              <a:solidFill>
                <a:srgbClr val="FF0000"/>
              </a:solidFill>
              <a:prstDash val="solid"/>
            </a:ln>
          </c:spPr>
          <c:marker>
            <c:symbol val="x"/>
            <c:size val="2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'[1]data + chart'!$A$4:$A$53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'[1]data + chart'!$E$4:$E$53</c:f>
              <c:numCache>
                <c:formatCode>General</c:formatCode>
                <c:ptCount val="50"/>
                <c:pt idx="0">
                  <c:v>0</c:v>
                </c:pt>
                <c:pt idx="1">
                  <c:v>3.8709303540329643E-9</c:v>
                </c:pt>
                <c:pt idx="2">
                  <c:v>6.6651465535638721E-7</c:v>
                </c:pt>
                <c:pt idx="3">
                  <c:v>1.9261341361542783E-5</c:v>
                </c:pt>
                <c:pt idx="4">
                  <c:v>2.0632194337488752E-4</c:v>
                </c:pt>
                <c:pt idx="5">
                  <c:v>1.1741001002307794E-3</c:v>
                </c:pt>
                <c:pt idx="6">
                  <c:v>4.3168482909737849E-3</c:v>
                </c:pt>
                <c:pt idx="7">
                  <c:v>1.1539787802911539E-2</c:v>
                </c:pt>
                <c:pt idx="8">
                  <c:v>2.4209333411537637E-2</c:v>
                </c:pt>
                <c:pt idx="9">
                  <c:v>4.1992142304291713E-2</c:v>
                </c:pt>
                <c:pt idx="10">
                  <c:v>6.2497517417234305E-2</c:v>
                </c:pt>
                <c:pt idx="11">
                  <c:v>8.2019467520051181E-2</c:v>
                </c:pt>
                <c:pt idx="12">
                  <c:v>9.6892977059448659E-2</c:v>
                </c:pt>
                <c:pt idx="13">
                  <c:v>0.10469482853625767</c:v>
                </c:pt>
                <c:pt idx="14">
                  <c:v>0.10478303182203463</c:v>
                </c:pt>
                <c:pt idx="15">
                  <c:v>9.8126351681717794E-2</c:v>
                </c:pt>
                <c:pt idx="16">
                  <c:v>8.6694532506558786E-2</c:v>
                </c:pt>
                <c:pt idx="17">
                  <c:v>7.275546572998326E-2</c:v>
                </c:pt>
                <c:pt idx="18">
                  <c:v>5.8327821274778868E-2</c:v>
                </c:pt>
                <c:pt idx="19">
                  <c:v>4.4885259337373862E-2</c:v>
                </c:pt>
                <c:pt idx="20">
                  <c:v>3.3290552960659525E-2</c:v>
                </c:pt>
                <c:pt idx="21">
                  <c:v>2.3880726971383437E-2</c:v>
                </c:pt>
                <c:pt idx="22">
                  <c:v>1.6618699849758833E-2</c:v>
                </c:pt>
                <c:pt idx="23">
                  <c:v>1.1248968957573768E-2</c:v>
                </c:pt>
                <c:pt idx="24">
                  <c:v>7.4232719111944068E-3</c:v>
                </c:pt>
                <c:pt idx="25">
                  <c:v>4.7854876536361779E-3</c:v>
                </c:pt>
                <c:pt idx="26">
                  <c:v>3.0191518865284594E-3</c:v>
                </c:pt>
                <c:pt idx="27">
                  <c:v>1.8670892740807465E-3</c:v>
                </c:pt>
                <c:pt idx="28">
                  <c:v>1.1334069042046035E-3</c:v>
                </c:pt>
                <c:pt idx="29">
                  <c:v>6.7624277881173089E-4</c:v>
                </c:pt>
                <c:pt idx="30">
                  <c:v>3.9702270947861162E-4</c:v>
                </c:pt>
                <c:pt idx="31">
                  <c:v>2.2960199243882151E-4</c:v>
                </c:pt>
                <c:pt idx="32">
                  <c:v>1.3091604892767617E-4</c:v>
                </c:pt>
                <c:pt idx="33">
                  <c:v>7.3661278753411885E-5</c:v>
                </c:pt>
                <c:pt idx="34">
                  <c:v>4.0931167817226388E-5</c:v>
                </c:pt>
                <c:pt idx="35">
                  <c:v>2.2477492708561364E-5</c:v>
                </c:pt>
                <c:pt idx="36">
                  <c:v>1.2206887313293002E-5</c:v>
                </c:pt>
                <c:pt idx="37">
                  <c:v>6.5597424010466199E-6</c:v>
                </c:pt>
                <c:pt idx="38">
                  <c:v>3.4900709051655099E-6</c:v>
                </c:pt>
                <c:pt idx="39">
                  <c:v>1.8393721651355222E-6</c:v>
                </c:pt>
                <c:pt idx="40">
                  <c:v>9.6072372535171979E-7</c:v>
                </c:pt>
                <c:pt idx="41">
                  <c:v>4.9752117192713996E-7</c:v>
                </c:pt>
                <c:pt idx="42">
                  <c:v>2.5555580629443853E-7</c:v>
                </c:pt>
                <c:pt idx="43">
                  <c:v>1.3025239553599022E-7</c:v>
                </c:pt>
                <c:pt idx="44">
                  <c:v>6.5896885392824345E-8</c:v>
                </c:pt>
                <c:pt idx="45">
                  <c:v>3.3102931618067544E-8</c:v>
                </c:pt>
                <c:pt idx="46">
                  <c:v>1.6516738088334648E-8</c:v>
                </c:pt>
                <c:pt idx="47">
                  <c:v>8.1877330471158416E-9</c:v>
                </c:pt>
                <c:pt idx="48">
                  <c:v>4.0336864959300556E-9</c:v>
                </c:pt>
                <c:pt idx="49">
                  <c:v>1.9753766400398831E-9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60768"/>
        <c:axId val="203469152"/>
      </c:scatterChart>
      <c:valAx>
        <c:axId val="203260768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469152"/>
        <c:crosses val="autoZero"/>
        <c:crossBetween val="midCat"/>
        <c:minorUnit val="5"/>
      </c:valAx>
      <c:valAx>
        <c:axId val="2034691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2607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711690450458405"/>
          <c:y val="0.34920801566470877"/>
          <c:w val="0.1988801399825022"/>
          <c:h val="0.206350317321445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85189308662981"/>
          <c:y val="0.13227581574392228"/>
          <c:w val="0.63305495299083414"/>
          <c:h val="0.65079701346009933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'[1]data + chart'!$A$4:$A$53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'[1]data + chart'!$D$4:$D$53</c:f>
              <c:numCache>
                <c:formatCode>General</c:formatCode>
                <c:ptCount val="50"/>
              </c:numCache>
            </c:numRef>
          </c:yVal>
          <c:smooth val="0"/>
        </c:ser>
        <c:ser>
          <c:idx val="3"/>
          <c:order val="1"/>
          <c:spPr>
            <a:ln w="38100">
              <a:solidFill>
                <a:srgbClr val="FF0000"/>
              </a:solidFill>
              <a:prstDash val="solid"/>
            </a:ln>
          </c:spPr>
          <c:marker>
            <c:symbol val="x"/>
            <c:size val="2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'[1]data + chart'!$A$4:$A$53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'[1]data + chart'!$E$4:$E$53</c:f>
              <c:numCache>
                <c:formatCode>General</c:formatCode>
                <c:ptCount val="50"/>
                <c:pt idx="0">
                  <c:v>0</c:v>
                </c:pt>
                <c:pt idx="1">
                  <c:v>3.8709303540329643E-9</c:v>
                </c:pt>
                <c:pt idx="2">
                  <c:v>6.6651465535638721E-7</c:v>
                </c:pt>
                <c:pt idx="3">
                  <c:v>1.9261341361542783E-5</c:v>
                </c:pt>
                <c:pt idx="4">
                  <c:v>2.0632194337488752E-4</c:v>
                </c:pt>
                <c:pt idx="5">
                  <c:v>1.1741001002307794E-3</c:v>
                </c:pt>
                <c:pt idx="6">
                  <c:v>4.3168482909737849E-3</c:v>
                </c:pt>
                <c:pt idx="7">
                  <c:v>1.1539787802911539E-2</c:v>
                </c:pt>
                <c:pt idx="8">
                  <c:v>2.4209333411537637E-2</c:v>
                </c:pt>
                <c:pt idx="9">
                  <c:v>4.1992142304291713E-2</c:v>
                </c:pt>
                <c:pt idx="10">
                  <c:v>6.2497517417234305E-2</c:v>
                </c:pt>
                <c:pt idx="11">
                  <c:v>8.2019467520051181E-2</c:v>
                </c:pt>
                <c:pt idx="12">
                  <c:v>9.6892977059448659E-2</c:v>
                </c:pt>
                <c:pt idx="13">
                  <c:v>0.10469482853625767</c:v>
                </c:pt>
                <c:pt idx="14">
                  <c:v>0.10478303182203463</c:v>
                </c:pt>
                <c:pt idx="15">
                  <c:v>9.8126351681717794E-2</c:v>
                </c:pt>
                <c:pt idx="16">
                  <c:v>8.6694532506558786E-2</c:v>
                </c:pt>
                <c:pt idx="17">
                  <c:v>7.275546572998326E-2</c:v>
                </c:pt>
                <c:pt idx="18">
                  <c:v>5.8327821274778868E-2</c:v>
                </c:pt>
                <c:pt idx="19">
                  <c:v>4.4885259337373862E-2</c:v>
                </c:pt>
                <c:pt idx="20">
                  <c:v>3.3290552960659525E-2</c:v>
                </c:pt>
                <c:pt idx="21">
                  <c:v>2.3880726971383437E-2</c:v>
                </c:pt>
                <c:pt idx="22">
                  <c:v>1.6618699849758833E-2</c:v>
                </c:pt>
                <c:pt idx="23">
                  <c:v>1.1248968957573768E-2</c:v>
                </c:pt>
                <c:pt idx="24">
                  <c:v>7.4232719111944068E-3</c:v>
                </c:pt>
                <c:pt idx="25">
                  <c:v>4.7854876536361779E-3</c:v>
                </c:pt>
                <c:pt idx="26">
                  <c:v>3.0191518865284594E-3</c:v>
                </c:pt>
                <c:pt idx="27">
                  <c:v>1.8670892740807465E-3</c:v>
                </c:pt>
                <c:pt idx="28">
                  <c:v>1.1334069042046035E-3</c:v>
                </c:pt>
                <c:pt idx="29">
                  <c:v>6.7624277881173089E-4</c:v>
                </c:pt>
                <c:pt idx="30">
                  <c:v>3.9702270947861162E-4</c:v>
                </c:pt>
                <c:pt idx="31">
                  <c:v>2.2960199243882151E-4</c:v>
                </c:pt>
                <c:pt idx="32">
                  <c:v>1.3091604892767617E-4</c:v>
                </c:pt>
                <c:pt idx="33">
                  <c:v>7.3661278753411885E-5</c:v>
                </c:pt>
                <c:pt idx="34">
                  <c:v>4.0931167817226388E-5</c:v>
                </c:pt>
                <c:pt idx="35">
                  <c:v>2.2477492708561364E-5</c:v>
                </c:pt>
                <c:pt idx="36">
                  <c:v>1.2206887313293002E-5</c:v>
                </c:pt>
                <c:pt idx="37">
                  <c:v>6.5597424010466199E-6</c:v>
                </c:pt>
                <c:pt idx="38">
                  <c:v>3.4900709051655099E-6</c:v>
                </c:pt>
                <c:pt idx="39">
                  <c:v>1.8393721651355222E-6</c:v>
                </c:pt>
                <c:pt idx="40">
                  <c:v>9.6072372535171979E-7</c:v>
                </c:pt>
                <c:pt idx="41">
                  <c:v>4.9752117192713996E-7</c:v>
                </c:pt>
                <c:pt idx="42">
                  <c:v>2.5555580629443853E-7</c:v>
                </c:pt>
                <c:pt idx="43">
                  <c:v>1.3025239553599022E-7</c:v>
                </c:pt>
                <c:pt idx="44">
                  <c:v>6.5896885392824345E-8</c:v>
                </c:pt>
                <c:pt idx="45">
                  <c:v>3.3102931618067544E-8</c:v>
                </c:pt>
                <c:pt idx="46">
                  <c:v>1.6516738088334648E-8</c:v>
                </c:pt>
                <c:pt idx="47">
                  <c:v>8.1877330471158416E-9</c:v>
                </c:pt>
                <c:pt idx="48">
                  <c:v>4.0336864959300556E-9</c:v>
                </c:pt>
                <c:pt idx="49">
                  <c:v>1.9753766400398831E-9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19248"/>
        <c:axId val="203219632"/>
      </c:scatterChart>
      <c:valAx>
        <c:axId val="203219248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219632"/>
        <c:crosses val="autoZero"/>
        <c:crossBetween val="midCat"/>
        <c:minorUnit val="5"/>
      </c:valAx>
      <c:valAx>
        <c:axId val="203219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2192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711690450458405"/>
          <c:y val="0.34920801566470883"/>
          <c:w val="0.1988801399825022"/>
          <c:h val="0.206350317321445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85189308662981"/>
          <c:y val="0.13227581574392228"/>
          <c:w val="0.63305495299083414"/>
          <c:h val="0.65079701346009933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'[1]data + chart'!$A$4:$A$53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'[1]data + chart'!$D$4:$D$53</c:f>
              <c:numCache>
                <c:formatCode>General</c:formatCode>
                <c:ptCount val="50"/>
              </c:numCache>
            </c:numRef>
          </c:yVal>
          <c:smooth val="0"/>
        </c:ser>
        <c:ser>
          <c:idx val="3"/>
          <c:order val="1"/>
          <c:spPr>
            <a:ln w="38100">
              <a:solidFill>
                <a:srgbClr val="FF0000"/>
              </a:solidFill>
              <a:prstDash val="solid"/>
            </a:ln>
          </c:spPr>
          <c:marker>
            <c:symbol val="x"/>
            <c:size val="2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'[1]data + chart'!$A$4:$A$53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'[1]data + chart'!$E$4:$E$53</c:f>
              <c:numCache>
                <c:formatCode>General</c:formatCode>
                <c:ptCount val="50"/>
                <c:pt idx="0">
                  <c:v>0</c:v>
                </c:pt>
                <c:pt idx="1">
                  <c:v>3.8709303540329643E-9</c:v>
                </c:pt>
                <c:pt idx="2">
                  <c:v>6.6651465535638721E-7</c:v>
                </c:pt>
                <c:pt idx="3">
                  <c:v>1.9261341361542783E-5</c:v>
                </c:pt>
                <c:pt idx="4">
                  <c:v>2.0632194337488752E-4</c:v>
                </c:pt>
                <c:pt idx="5">
                  <c:v>1.1741001002307794E-3</c:v>
                </c:pt>
                <c:pt idx="6">
                  <c:v>4.3168482909737849E-3</c:v>
                </c:pt>
                <c:pt idx="7">
                  <c:v>1.1539787802911539E-2</c:v>
                </c:pt>
                <c:pt idx="8">
                  <c:v>2.4209333411537637E-2</c:v>
                </c:pt>
                <c:pt idx="9">
                  <c:v>4.1992142304291713E-2</c:v>
                </c:pt>
                <c:pt idx="10">
                  <c:v>6.2497517417234305E-2</c:v>
                </c:pt>
                <c:pt idx="11">
                  <c:v>8.2019467520051181E-2</c:v>
                </c:pt>
                <c:pt idx="12">
                  <c:v>9.6892977059448659E-2</c:v>
                </c:pt>
                <c:pt idx="13">
                  <c:v>0.10469482853625767</c:v>
                </c:pt>
                <c:pt idx="14">
                  <c:v>0.10478303182203463</c:v>
                </c:pt>
                <c:pt idx="15">
                  <c:v>9.8126351681717794E-2</c:v>
                </c:pt>
                <c:pt idx="16">
                  <c:v>8.6694532506558786E-2</c:v>
                </c:pt>
                <c:pt idx="17">
                  <c:v>7.275546572998326E-2</c:v>
                </c:pt>
                <c:pt idx="18">
                  <c:v>5.8327821274778868E-2</c:v>
                </c:pt>
                <c:pt idx="19">
                  <c:v>4.4885259337373862E-2</c:v>
                </c:pt>
                <c:pt idx="20">
                  <c:v>3.3290552960659525E-2</c:v>
                </c:pt>
                <c:pt idx="21">
                  <c:v>2.3880726971383437E-2</c:v>
                </c:pt>
                <c:pt idx="22">
                  <c:v>1.6618699849758833E-2</c:v>
                </c:pt>
                <c:pt idx="23">
                  <c:v>1.1248968957573768E-2</c:v>
                </c:pt>
                <c:pt idx="24">
                  <c:v>7.4232719111944068E-3</c:v>
                </c:pt>
                <c:pt idx="25">
                  <c:v>4.7854876536361779E-3</c:v>
                </c:pt>
                <c:pt idx="26">
                  <c:v>3.0191518865284594E-3</c:v>
                </c:pt>
                <c:pt idx="27">
                  <c:v>1.8670892740807465E-3</c:v>
                </c:pt>
                <c:pt idx="28">
                  <c:v>1.1334069042046035E-3</c:v>
                </c:pt>
                <c:pt idx="29">
                  <c:v>6.7624277881173089E-4</c:v>
                </c:pt>
                <c:pt idx="30">
                  <c:v>3.9702270947861162E-4</c:v>
                </c:pt>
                <c:pt idx="31">
                  <c:v>2.2960199243882151E-4</c:v>
                </c:pt>
                <c:pt idx="32">
                  <c:v>1.3091604892767617E-4</c:v>
                </c:pt>
                <c:pt idx="33">
                  <c:v>7.3661278753411885E-5</c:v>
                </c:pt>
                <c:pt idx="34">
                  <c:v>4.0931167817226388E-5</c:v>
                </c:pt>
                <c:pt idx="35">
                  <c:v>2.2477492708561364E-5</c:v>
                </c:pt>
                <c:pt idx="36">
                  <c:v>1.2206887313293002E-5</c:v>
                </c:pt>
                <c:pt idx="37">
                  <c:v>6.5597424010466199E-6</c:v>
                </c:pt>
                <c:pt idx="38">
                  <c:v>3.4900709051655099E-6</c:v>
                </c:pt>
                <c:pt idx="39">
                  <c:v>1.8393721651355222E-6</c:v>
                </c:pt>
                <c:pt idx="40">
                  <c:v>9.6072372535171979E-7</c:v>
                </c:pt>
                <c:pt idx="41">
                  <c:v>4.9752117192713996E-7</c:v>
                </c:pt>
                <c:pt idx="42">
                  <c:v>2.5555580629443853E-7</c:v>
                </c:pt>
                <c:pt idx="43">
                  <c:v>1.3025239553599022E-7</c:v>
                </c:pt>
                <c:pt idx="44">
                  <c:v>6.5896885392824345E-8</c:v>
                </c:pt>
                <c:pt idx="45">
                  <c:v>3.3102931618067544E-8</c:v>
                </c:pt>
                <c:pt idx="46">
                  <c:v>1.6516738088334648E-8</c:v>
                </c:pt>
                <c:pt idx="47">
                  <c:v>8.1877330471158416E-9</c:v>
                </c:pt>
                <c:pt idx="48">
                  <c:v>4.0336864959300556E-9</c:v>
                </c:pt>
                <c:pt idx="49">
                  <c:v>1.9753766400398831E-9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54032"/>
        <c:axId val="203712416"/>
      </c:scatterChart>
      <c:valAx>
        <c:axId val="203554032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712416"/>
        <c:crosses val="autoZero"/>
        <c:crossBetween val="midCat"/>
        <c:minorUnit val="5"/>
      </c:valAx>
      <c:valAx>
        <c:axId val="203712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5540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711690450458405"/>
          <c:y val="0.34920801566470883"/>
          <c:w val="0.1988801399825022"/>
          <c:h val="0.206350317321445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28575</xdr:rowOff>
    </xdr:from>
    <xdr:to>
      <xdr:col>5</xdr:col>
      <xdr:colOff>323850</xdr:colOff>
      <xdr:row>63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28</xdr:row>
      <xdr:rowOff>0</xdr:rowOff>
    </xdr:from>
    <xdr:to>
      <xdr:col>20</xdr:col>
      <xdr:colOff>571500</xdr:colOff>
      <xdr:row>36</xdr:row>
      <xdr:rowOff>504825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49</xdr:row>
      <xdr:rowOff>0</xdr:rowOff>
    </xdr:from>
    <xdr:to>
      <xdr:col>20</xdr:col>
      <xdr:colOff>466725</xdr:colOff>
      <xdr:row>60</xdr:row>
      <xdr:rowOff>9525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16/Spring%202011/Week%208/Week%208%20Handouts/chidist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+ chart"/>
      <sheetName val="Large picture"/>
    </sheetNames>
    <sheetDataSet>
      <sheetData sheetId="0">
        <row r="4">
          <cell r="A4">
            <v>2</v>
          </cell>
          <cell r="E4">
            <v>0</v>
          </cell>
        </row>
        <row r="5">
          <cell r="A5">
            <v>4</v>
          </cell>
          <cell r="E5">
            <v>3.8709303540329643E-9</v>
          </cell>
        </row>
        <row r="6">
          <cell r="A6">
            <v>6</v>
          </cell>
          <cell r="E6">
            <v>6.6651465535638721E-7</v>
          </cell>
        </row>
        <row r="7">
          <cell r="A7">
            <v>8</v>
          </cell>
          <cell r="E7">
            <v>1.9261341361542783E-5</v>
          </cell>
        </row>
        <row r="8">
          <cell r="A8">
            <v>10</v>
          </cell>
          <cell r="E8">
            <v>2.0632194337488752E-4</v>
          </cell>
        </row>
        <row r="9">
          <cell r="A9">
            <v>12</v>
          </cell>
          <cell r="E9">
            <v>1.1741001002307794E-3</v>
          </cell>
        </row>
        <row r="10">
          <cell r="A10">
            <v>14</v>
          </cell>
          <cell r="E10">
            <v>4.3168482909737849E-3</v>
          </cell>
        </row>
        <row r="11">
          <cell r="A11">
            <v>16</v>
          </cell>
          <cell r="E11">
            <v>1.1539787802911539E-2</v>
          </cell>
        </row>
        <row r="12">
          <cell r="A12">
            <v>18</v>
          </cell>
          <cell r="E12">
            <v>2.4209333411537637E-2</v>
          </cell>
        </row>
        <row r="13">
          <cell r="A13">
            <v>20</v>
          </cell>
          <cell r="E13">
            <v>4.1992142304291713E-2</v>
          </cell>
        </row>
        <row r="14">
          <cell r="A14">
            <v>22</v>
          </cell>
          <cell r="E14">
            <v>6.2497517417234305E-2</v>
          </cell>
        </row>
        <row r="15">
          <cell r="A15">
            <v>24</v>
          </cell>
          <cell r="E15">
            <v>8.2019467520051181E-2</v>
          </cell>
        </row>
        <row r="16">
          <cell r="A16">
            <v>26</v>
          </cell>
          <cell r="E16">
            <v>9.6892977059448659E-2</v>
          </cell>
        </row>
        <row r="17">
          <cell r="A17">
            <v>28</v>
          </cell>
          <cell r="E17">
            <v>0.10469482853625767</v>
          </cell>
        </row>
        <row r="18">
          <cell r="A18">
            <v>30</v>
          </cell>
          <cell r="E18">
            <v>0.10478303182203463</v>
          </cell>
        </row>
        <row r="19">
          <cell r="A19">
            <v>32</v>
          </cell>
          <cell r="E19">
            <v>9.8126351681717794E-2</v>
          </cell>
        </row>
        <row r="20">
          <cell r="A20">
            <v>34</v>
          </cell>
          <cell r="E20">
            <v>8.6694532506558786E-2</v>
          </cell>
        </row>
        <row r="21">
          <cell r="A21">
            <v>36</v>
          </cell>
          <cell r="E21">
            <v>7.275546572998326E-2</v>
          </cell>
        </row>
        <row r="22">
          <cell r="A22">
            <v>38</v>
          </cell>
          <cell r="E22">
            <v>5.8327821274778868E-2</v>
          </cell>
        </row>
        <row r="23">
          <cell r="A23">
            <v>40</v>
          </cell>
          <cell r="E23">
            <v>4.4885259337373862E-2</v>
          </cell>
        </row>
        <row r="24">
          <cell r="A24">
            <v>42</v>
          </cell>
          <cell r="E24">
            <v>3.3290552960659525E-2</v>
          </cell>
        </row>
        <row r="25">
          <cell r="A25">
            <v>44</v>
          </cell>
          <cell r="E25">
            <v>2.3880726971383437E-2</v>
          </cell>
        </row>
        <row r="26">
          <cell r="A26">
            <v>46</v>
          </cell>
          <cell r="E26">
            <v>1.6618699849758833E-2</v>
          </cell>
        </row>
        <row r="27">
          <cell r="A27">
            <v>48</v>
          </cell>
          <cell r="E27">
            <v>1.1248968957573768E-2</v>
          </cell>
        </row>
        <row r="28">
          <cell r="A28">
            <v>50</v>
          </cell>
          <cell r="E28">
            <v>7.4232719111944068E-3</v>
          </cell>
        </row>
        <row r="29">
          <cell r="A29">
            <v>52</v>
          </cell>
          <cell r="E29">
            <v>4.7854876536361779E-3</v>
          </cell>
        </row>
        <row r="30">
          <cell r="A30">
            <v>54</v>
          </cell>
          <cell r="E30">
            <v>3.0191518865284594E-3</v>
          </cell>
        </row>
        <row r="31">
          <cell r="A31">
            <v>56</v>
          </cell>
          <cell r="E31">
            <v>1.8670892740807465E-3</v>
          </cell>
        </row>
        <row r="32">
          <cell r="A32">
            <v>58</v>
          </cell>
          <cell r="E32">
            <v>1.1334069042046035E-3</v>
          </cell>
        </row>
        <row r="33">
          <cell r="A33">
            <v>60</v>
          </cell>
          <cell r="E33">
            <v>6.7624277881173089E-4</v>
          </cell>
        </row>
        <row r="34">
          <cell r="A34">
            <v>62</v>
          </cell>
          <cell r="E34">
            <v>3.9702270947861162E-4</v>
          </cell>
        </row>
        <row r="35">
          <cell r="A35">
            <v>64</v>
          </cell>
          <cell r="E35">
            <v>2.2960199243882151E-4</v>
          </cell>
        </row>
        <row r="36">
          <cell r="A36">
            <v>66</v>
          </cell>
          <cell r="E36">
            <v>1.3091604892767617E-4</v>
          </cell>
        </row>
        <row r="37">
          <cell r="A37">
            <v>68</v>
          </cell>
          <cell r="E37">
            <v>7.3661278753411885E-5</v>
          </cell>
        </row>
        <row r="38">
          <cell r="A38">
            <v>70</v>
          </cell>
          <cell r="E38">
            <v>4.0931167817226388E-5</v>
          </cell>
        </row>
        <row r="39">
          <cell r="A39">
            <v>72</v>
          </cell>
          <cell r="E39">
            <v>2.2477492708561364E-5</v>
          </cell>
        </row>
        <row r="40">
          <cell r="A40">
            <v>74</v>
          </cell>
          <cell r="E40">
            <v>1.2206887313293002E-5</v>
          </cell>
        </row>
        <row r="41">
          <cell r="A41">
            <v>76</v>
          </cell>
          <cell r="E41">
            <v>6.5597424010466199E-6</v>
          </cell>
        </row>
        <row r="42">
          <cell r="A42">
            <v>78</v>
          </cell>
          <cell r="E42">
            <v>3.4900709051655099E-6</v>
          </cell>
        </row>
        <row r="43">
          <cell r="A43">
            <v>80</v>
          </cell>
          <cell r="E43">
            <v>1.8393721651355222E-6</v>
          </cell>
        </row>
        <row r="44">
          <cell r="A44">
            <v>82</v>
          </cell>
          <cell r="E44">
            <v>9.6072372535171979E-7</v>
          </cell>
        </row>
        <row r="45">
          <cell r="A45">
            <v>84</v>
          </cell>
          <cell r="E45">
            <v>4.9752117192713996E-7</v>
          </cell>
        </row>
        <row r="46">
          <cell r="A46">
            <v>86</v>
          </cell>
          <cell r="E46">
            <v>2.5555580629443853E-7</v>
          </cell>
        </row>
        <row r="47">
          <cell r="A47">
            <v>88</v>
          </cell>
          <cell r="E47">
            <v>1.3025239553599022E-7</v>
          </cell>
        </row>
        <row r="48">
          <cell r="A48">
            <v>90</v>
          </cell>
          <cell r="E48">
            <v>6.5896885392824345E-8</v>
          </cell>
        </row>
        <row r="49">
          <cell r="A49">
            <v>92</v>
          </cell>
          <cell r="E49">
            <v>3.3102931618067544E-8</v>
          </cell>
        </row>
        <row r="50">
          <cell r="A50">
            <v>94</v>
          </cell>
          <cell r="E50">
            <v>1.6516738088334648E-8</v>
          </cell>
        </row>
        <row r="51">
          <cell r="A51">
            <v>96</v>
          </cell>
          <cell r="E51">
            <v>8.1877330471158416E-9</v>
          </cell>
        </row>
        <row r="52">
          <cell r="A52">
            <v>98</v>
          </cell>
          <cell r="E52">
            <v>4.0336864959300556E-9</v>
          </cell>
        </row>
        <row r="53">
          <cell r="A53">
            <v>100</v>
          </cell>
          <cell r="E53">
            <v>1.9753766400398831E-9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216/Spring%202011/Week%209/HW7_Solution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ad Technology Services Group" refreshedDate="37901.492162268521" createdVersion="1" refreshedVersion="3" recordCount="27" upgradeOnRefresh="1">
  <cacheSource type="worksheet">
    <worksheetSource ref="A1:G28" sheet="Problem 5" r:id="rId2"/>
  </cacheSource>
  <cacheFields count="7">
    <cacheField name="Employee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Gender" numFmtId="0">
      <sharedItems count="2">
        <s v="F"/>
        <s v="M"/>
      </sharedItems>
    </cacheField>
    <cacheField name="Years of Service." numFmtId="0">
      <sharedItems containsSemiMixedTypes="0" containsString="0" containsNumber="1" containsInteger="1" minValue="5" maxValue="31" count="17">
        <n v="17"/>
        <n v="6"/>
        <n v="8"/>
        <n v="16"/>
        <n v="21"/>
        <n v="27"/>
        <n v="7"/>
        <n v="23"/>
        <n v="9"/>
        <n v="26"/>
        <n v="19"/>
        <n v="5"/>
        <n v="20"/>
        <n v="14"/>
        <n v="31"/>
        <n v="10"/>
        <n v="28"/>
      </sharedItems>
    </cacheField>
    <cacheField name="Years Undergraduate Study" numFmtId="0">
      <sharedItems containsSemiMixedTypes="0" containsString="0" containsNumber="1" containsInteger="1" minValue="0" maxValue="4" count="4">
        <n v="4"/>
        <n v="2"/>
        <n v="1"/>
        <n v="0"/>
      </sharedItems>
    </cacheField>
    <cacheField name="Graduate Degree?" numFmtId="0">
      <sharedItems count="2">
        <s v="N"/>
        <s v="Y"/>
      </sharedItems>
    </cacheField>
    <cacheField name="CPA?" numFmtId="0">
      <sharedItems count="2">
        <s v="Y"/>
        <s v="N"/>
      </sharedItems>
    </cacheField>
    <cacheField name="Age Group" numFmtId="0">
      <sharedItems containsSemiMixedTypes="0" containsString="0" containsNumber="1" containsInteger="1" minValue="1" maxValue="7" count="7">
        <n v="5"/>
        <n v="2"/>
        <n v="3"/>
        <n v="4"/>
        <n v="7"/>
        <n v="6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cjones" refreshedDate="40627.57003865741" createdVersion="1" refreshedVersion="3" recordCount="27" upgradeOnRefresh="1">
  <cacheSource type="worksheet">
    <worksheetSource ref="A1:G28" sheet="Problems 3 - 8"/>
  </cacheSource>
  <cacheFields count="7">
    <cacheField name="Employee" numFmtId="0">
      <sharedItems containsSemiMixedTypes="0" containsString="0" containsNumber="1" containsInteger="1" minValue="1" maxValue="27"/>
    </cacheField>
    <cacheField name="Gender" numFmtId="0">
      <sharedItems count="2">
        <s v="F"/>
        <s v="M"/>
      </sharedItems>
    </cacheField>
    <cacheField name="Years of Service." numFmtId="0">
      <sharedItems containsSemiMixedTypes="0" containsString="0" containsNumber="1" containsInteger="1" minValue="5" maxValue="31" count="17">
        <n v="17"/>
        <n v="6"/>
        <n v="8"/>
        <n v="16"/>
        <n v="21"/>
        <n v="27"/>
        <n v="7"/>
        <n v="23"/>
        <n v="9"/>
        <n v="26"/>
        <n v="19"/>
        <n v="5"/>
        <n v="20"/>
        <n v="14"/>
        <n v="31"/>
        <n v="10"/>
        <n v="28"/>
      </sharedItems>
      <fieldGroup base="2">
        <rangePr autoStart="0" startNum="0" endNum="31" groupInterval="16"/>
        <groupItems count="4">
          <s v="&lt;0"/>
          <s v="0-15"/>
          <s v="16-31"/>
          <s v="&gt;32"/>
        </groupItems>
      </fieldGroup>
    </cacheField>
    <cacheField name="Years Undergraduate Study" numFmtId="0">
      <sharedItems containsSemiMixedTypes="0" containsString="0" containsNumber="1" containsInteger="1" minValue="0" maxValue="4"/>
    </cacheField>
    <cacheField name="Graduate Degree?" numFmtId="0">
      <sharedItems/>
    </cacheField>
    <cacheField name="CPA?" numFmtId="0">
      <sharedItems/>
    </cacheField>
    <cacheField name="Age Group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x v="0"/>
    <x v="0"/>
    <x v="0"/>
    <x v="0"/>
    <x v="0"/>
  </r>
  <r>
    <x v="1"/>
    <x v="0"/>
    <x v="1"/>
    <x v="1"/>
    <x v="0"/>
    <x v="1"/>
    <x v="1"/>
  </r>
  <r>
    <x v="2"/>
    <x v="1"/>
    <x v="2"/>
    <x v="0"/>
    <x v="1"/>
    <x v="0"/>
    <x v="2"/>
  </r>
  <r>
    <x v="3"/>
    <x v="0"/>
    <x v="2"/>
    <x v="0"/>
    <x v="1"/>
    <x v="1"/>
    <x v="2"/>
  </r>
  <r>
    <x v="4"/>
    <x v="1"/>
    <x v="3"/>
    <x v="0"/>
    <x v="1"/>
    <x v="0"/>
    <x v="3"/>
  </r>
  <r>
    <x v="5"/>
    <x v="0"/>
    <x v="4"/>
    <x v="2"/>
    <x v="0"/>
    <x v="0"/>
    <x v="4"/>
  </r>
  <r>
    <x v="6"/>
    <x v="1"/>
    <x v="5"/>
    <x v="0"/>
    <x v="0"/>
    <x v="1"/>
    <x v="4"/>
  </r>
  <r>
    <x v="7"/>
    <x v="0"/>
    <x v="6"/>
    <x v="0"/>
    <x v="1"/>
    <x v="0"/>
    <x v="1"/>
  </r>
  <r>
    <x v="8"/>
    <x v="1"/>
    <x v="2"/>
    <x v="0"/>
    <x v="0"/>
    <x v="1"/>
    <x v="2"/>
  </r>
  <r>
    <x v="9"/>
    <x v="1"/>
    <x v="7"/>
    <x v="1"/>
    <x v="0"/>
    <x v="0"/>
    <x v="0"/>
  </r>
  <r>
    <x v="10"/>
    <x v="0"/>
    <x v="8"/>
    <x v="0"/>
    <x v="1"/>
    <x v="0"/>
    <x v="2"/>
  </r>
  <r>
    <x v="11"/>
    <x v="0"/>
    <x v="2"/>
    <x v="1"/>
    <x v="0"/>
    <x v="1"/>
    <x v="1"/>
  </r>
  <r>
    <x v="12"/>
    <x v="0"/>
    <x v="2"/>
    <x v="0"/>
    <x v="1"/>
    <x v="1"/>
    <x v="1"/>
  </r>
  <r>
    <x v="13"/>
    <x v="1"/>
    <x v="9"/>
    <x v="0"/>
    <x v="0"/>
    <x v="0"/>
    <x v="5"/>
  </r>
  <r>
    <x v="14"/>
    <x v="0"/>
    <x v="8"/>
    <x v="0"/>
    <x v="0"/>
    <x v="0"/>
    <x v="1"/>
  </r>
  <r>
    <x v="15"/>
    <x v="0"/>
    <x v="8"/>
    <x v="1"/>
    <x v="0"/>
    <x v="1"/>
    <x v="1"/>
  </r>
  <r>
    <x v="16"/>
    <x v="1"/>
    <x v="10"/>
    <x v="1"/>
    <x v="1"/>
    <x v="0"/>
    <x v="3"/>
  </r>
  <r>
    <x v="17"/>
    <x v="1"/>
    <x v="11"/>
    <x v="0"/>
    <x v="0"/>
    <x v="1"/>
    <x v="3"/>
  </r>
  <r>
    <x v="18"/>
    <x v="1"/>
    <x v="10"/>
    <x v="0"/>
    <x v="1"/>
    <x v="1"/>
    <x v="4"/>
  </r>
  <r>
    <x v="19"/>
    <x v="1"/>
    <x v="12"/>
    <x v="0"/>
    <x v="0"/>
    <x v="1"/>
    <x v="5"/>
  </r>
  <r>
    <x v="20"/>
    <x v="0"/>
    <x v="13"/>
    <x v="0"/>
    <x v="1"/>
    <x v="0"/>
    <x v="3"/>
  </r>
  <r>
    <x v="21"/>
    <x v="1"/>
    <x v="14"/>
    <x v="0"/>
    <x v="0"/>
    <x v="1"/>
    <x v="4"/>
  </r>
  <r>
    <x v="22"/>
    <x v="0"/>
    <x v="15"/>
    <x v="3"/>
    <x v="0"/>
    <x v="1"/>
    <x v="4"/>
  </r>
  <r>
    <x v="23"/>
    <x v="0"/>
    <x v="15"/>
    <x v="0"/>
    <x v="0"/>
    <x v="0"/>
    <x v="2"/>
  </r>
  <r>
    <x v="24"/>
    <x v="1"/>
    <x v="9"/>
    <x v="0"/>
    <x v="1"/>
    <x v="0"/>
    <x v="5"/>
  </r>
  <r>
    <x v="25"/>
    <x v="1"/>
    <x v="16"/>
    <x v="0"/>
    <x v="0"/>
    <x v="1"/>
    <x v="4"/>
  </r>
  <r>
    <x v="26"/>
    <x v="0"/>
    <x v="11"/>
    <x v="0"/>
    <x v="0"/>
    <x v="0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">
  <r>
    <n v="1"/>
    <x v="0"/>
    <x v="0"/>
    <n v="4"/>
    <s v="N"/>
    <s v="Y"/>
    <n v="5"/>
  </r>
  <r>
    <n v="2"/>
    <x v="0"/>
    <x v="1"/>
    <n v="2"/>
    <s v="N"/>
    <s v="N"/>
    <n v="2"/>
  </r>
  <r>
    <n v="3"/>
    <x v="1"/>
    <x v="2"/>
    <n v="4"/>
    <s v="Y"/>
    <s v="Y"/>
    <n v="3"/>
  </r>
  <r>
    <n v="4"/>
    <x v="0"/>
    <x v="2"/>
    <n v="4"/>
    <s v="Y"/>
    <s v="N"/>
    <n v="3"/>
  </r>
  <r>
    <n v="5"/>
    <x v="1"/>
    <x v="3"/>
    <n v="4"/>
    <s v="Y"/>
    <s v="Y"/>
    <n v="4"/>
  </r>
  <r>
    <n v="6"/>
    <x v="0"/>
    <x v="4"/>
    <n v="1"/>
    <s v="N"/>
    <s v="Y"/>
    <n v="7"/>
  </r>
  <r>
    <n v="7"/>
    <x v="1"/>
    <x v="5"/>
    <n v="4"/>
    <s v="N"/>
    <s v="N"/>
    <n v="7"/>
  </r>
  <r>
    <n v="8"/>
    <x v="0"/>
    <x v="6"/>
    <n v="4"/>
    <s v="Y"/>
    <s v="Y"/>
    <n v="2"/>
  </r>
  <r>
    <n v="9"/>
    <x v="1"/>
    <x v="2"/>
    <n v="4"/>
    <s v="N"/>
    <s v="N"/>
    <n v="3"/>
  </r>
  <r>
    <n v="10"/>
    <x v="1"/>
    <x v="7"/>
    <n v="2"/>
    <s v="N"/>
    <s v="Y"/>
    <n v="5"/>
  </r>
  <r>
    <n v="11"/>
    <x v="0"/>
    <x v="8"/>
    <n v="4"/>
    <s v="Y"/>
    <s v="Y"/>
    <n v="3"/>
  </r>
  <r>
    <n v="12"/>
    <x v="0"/>
    <x v="2"/>
    <n v="2"/>
    <s v="N"/>
    <s v="N"/>
    <n v="2"/>
  </r>
  <r>
    <n v="13"/>
    <x v="0"/>
    <x v="2"/>
    <n v="4"/>
    <s v="Y"/>
    <s v="N"/>
    <n v="2"/>
  </r>
  <r>
    <n v="14"/>
    <x v="1"/>
    <x v="9"/>
    <n v="4"/>
    <s v="N"/>
    <s v="Y"/>
    <n v="6"/>
  </r>
  <r>
    <n v="15"/>
    <x v="0"/>
    <x v="8"/>
    <n v="4"/>
    <s v="N"/>
    <s v="Y"/>
    <n v="2"/>
  </r>
  <r>
    <n v="16"/>
    <x v="0"/>
    <x v="8"/>
    <n v="2"/>
    <s v="N"/>
    <s v="N"/>
    <n v="2"/>
  </r>
  <r>
    <n v="17"/>
    <x v="1"/>
    <x v="10"/>
    <n v="2"/>
    <s v="Y"/>
    <s v="Y"/>
    <n v="4"/>
  </r>
  <r>
    <n v="18"/>
    <x v="1"/>
    <x v="11"/>
    <n v="4"/>
    <s v="N"/>
    <s v="N"/>
    <n v="4"/>
  </r>
  <r>
    <n v="19"/>
    <x v="1"/>
    <x v="10"/>
    <n v="4"/>
    <s v="Y"/>
    <s v="N"/>
    <n v="7"/>
  </r>
  <r>
    <n v="20"/>
    <x v="1"/>
    <x v="12"/>
    <n v="4"/>
    <s v="N"/>
    <s v="N"/>
    <n v="6"/>
  </r>
  <r>
    <n v="21"/>
    <x v="0"/>
    <x v="13"/>
    <n v="4"/>
    <s v="Y"/>
    <s v="Y"/>
    <n v="4"/>
  </r>
  <r>
    <n v="22"/>
    <x v="1"/>
    <x v="14"/>
    <n v="4"/>
    <s v="N"/>
    <s v="N"/>
    <n v="7"/>
  </r>
  <r>
    <n v="23"/>
    <x v="0"/>
    <x v="15"/>
    <n v="0"/>
    <s v="N"/>
    <s v="N"/>
    <n v="7"/>
  </r>
  <r>
    <n v="24"/>
    <x v="0"/>
    <x v="15"/>
    <n v="4"/>
    <s v="N"/>
    <s v="Y"/>
    <n v="3"/>
  </r>
  <r>
    <n v="25"/>
    <x v="1"/>
    <x v="9"/>
    <n v="4"/>
    <s v="Y"/>
    <s v="Y"/>
    <n v="6"/>
  </r>
  <r>
    <n v="26"/>
    <x v="1"/>
    <x v="16"/>
    <n v="4"/>
    <s v="N"/>
    <s v="N"/>
    <n v="7"/>
  </r>
  <r>
    <n v="27"/>
    <x v="0"/>
    <x v="11"/>
    <n v="4"/>
    <s v="N"/>
    <s v="Y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a" updatedVersion="3" showMemberPropertyTips="0" useAutoFormatting="1" itemPrintTitles="1" createdVersion="1" indent="0" compact="0" compactData="0" gridDropZones="1">
  <location ref="I99:L103" firstHeaderRow="1" firstDataRow="2" firstDataCol="1"/>
  <pivotFields count="7">
    <pivotField compact="0" outline="0" subtotalTop="0" showAll="0" includeNewItemsInFilter="1"/>
    <pivotField axis="axisCol" dataField="1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3"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I69:L78" firstHeaderRow="1" firstDataRow="2" firstDataCol="1"/>
  <pivotFields count="7"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8">
        <item x="6"/>
        <item x="1"/>
        <item x="2"/>
        <item x="3"/>
        <item x="0"/>
        <item x="5"/>
        <item x="4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Employee" fld="0" subtotal="count" baseField="0" baseItem="0"/>
  </dataFields>
  <formats count="2">
    <format dxfId="3">
      <pivotArea type="all" dataOnly="0" outline="0" fieldPosition="0"/>
    </format>
    <format dxfId="2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H83" sqref="H83"/>
    </sheetView>
  </sheetViews>
  <sheetFormatPr defaultRowHeight="12.75" x14ac:dyDescent="0.2"/>
  <cols>
    <col min="2" max="2" width="9.140625" style="1"/>
    <col min="4" max="4" width="9.5703125" style="4" bestFit="1" customWidth="1"/>
    <col min="7" max="7" width="56.140625" customWidth="1"/>
    <col min="8" max="8" width="15.42578125" customWidth="1"/>
    <col min="9" max="9" width="12.5703125" bestFit="1" customWidth="1"/>
    <col min="10" max="10" width="16.85546875" bestFit="1" customWidth="1"/>
  </cols>
  <sheetData>
    <row r="1" spans="1:13" ht="38.25" x14ac:dyDescent="0.2">
      <c r="A1" s="2" t="s">
        <v>0</v>
      </c>
      <c r="B1" s="3" t="s">
        <v>1</v>
      </c>
      <c r="D1" s="2" t="s">
        <v>0</v>
      </c>
      <c r="E1" s="3" t="s">
        <v>1</v>
      </c>
    </row>
    <row r="2" spans="1:13" x14ac:dyDescent="0.2">
      <c r="A2">
        <v>20</v>
      </c>
      <c r="B2">
        <v>193.11</v>
      </c>
      <c r="D2">
        <v>30</v>
      </c>
      <c r="E2">
        <v>153.52000000000001</v>
      </c>
      <c r="G2" s="13" t="s">
        <v>70</v>
      </c>
      <c r="M2">
        <v>193.11</v>
      </c>
    </row>
    <row r="3" spans="1:13" x14ac:dyDescent="0.2">
      <c r="A3">
        <v>20</v>
      </c>
      <c r="B3">
        <v>153.11000000000001</v>
      </c>
      <c r="D3">
        <v>30</v>
      </c>
      <c r="E3">
        <v>169.99</v>
      </c>
      <c r="H3" s="5" t="s">
        <v>3</v>
      </c>
      <c r="I3" s="5" t="s">
        <v>4</v>
      </c>
      <c r="M3">
        <v>153.11000000000001</v>
      </c>
    </row>
    <row r="4" spans="1:13" x14ac:dyDescent="0.2">
      <c r="A4">
        <v>21</v>
      </c>
      <c r="B4">
        <v>136.09</v>
      </c>
      <c r="D4">
        <v>30</v>
      </c>
      <c r="E4">
        <v>120.5</v>
      </c>
      <c r="G4" s="8" t="s">
        <v>2</v>
      </c>
      <c r="H4" s="7">
        <f>AVERAGE($B$2:$B$49)</f>
        <v>171.29145833333334</v>
      </c>
      <c r="I4" s="7">
        <f>AVERAGE(E2:E53)</f>
        <v>181.11788461538455</v>
      </c>
      <c r="M4">
        <v>136.09</v>
      </c>
    </row>
    <row r="5" spans="1:13" x14ac:dyDescent="0.2">
      <c r="A5">
        <v>21</v>
      </c>
      <c r="B5">
        <v>119.01</v>
      </c>
      <c r="D5">
        <v>31</v>
      </c>
      <c r="E5">
        <v>146.03</v>
      </c>
      <c r="M5">
        <v>119.01</v>
      </c>
    </row>
    <row r="6" spans="1:13" x14ac:dyDescent="0.2">
      <c r="A6">
        <v>21</v>
      </c>
      <c r="B6">
        <v>132.65</v>
      </c>
      <c r="D6">
        <v>31</v>
      </c>
      <c r="E6">
        <v>225</v>
      </c>
      <c r="M6">
        <v>132.65</v>
      </c>
    </row>
    <row r="7" spans="1:13" x14ac:dyDescent="0.2">
      <c r="A7">
        <v>22</v>
      </c>
      <c r="B7">
        <v>206.79</v>
      </c>
      <c r="D7">
        <v>31</v>
      </c>
      <c r="E7">
        <v>91.7</v>
      </c>
      <c r="G7" s="13" t="s">
        <v>71</v>
      </c>
      <c r="M7">
        <v>206.79</v>
      </c>
    </row>
    <row r="8" spans="1:13" x14ac:dyDescent="0.2">
      <c r="A8">
        <v>22</v>
      </c>
      <c r="B8">
        <v>155.13999999999999</v>
      </c>
      <c r="D8">
        <v>31</v>
      </c>
      <c r="E8">
        <v>264.08</v>
      </c>
      <c r="G8" t="s">
        <v>8</v>
      </c>
      <c r="M8">
        <v>155.13999999999999</v>
      </c>
    </row>
    <row r="9" spans="1:13" x14ac:dyDescent="0.2">
      <c r="A9">
        <v>22</v>
      </c>
      <c r="B9">
        <v>125.67</v>
      </c>
      <c r="D9">
        <v>31</v>
      </c>
      <c r="E9">
        <v>101.57</v>
      </c>
      <c r="G9" t="s">
        <v>9</v>
      </c>
      <c r="M9">
        <v>125.67</v>
      </c>
    </row>
    <row r="10" spans="1:13" x14ac:dyDescent="0.2">
      <c r="A10">
        <v>22</v>
      </c>
      <c r="B10">
        <v>95.86</v>
      </c>
      <c r="D10">
        <v>31</v>
      </c>
      <c r="E10">
        <v>101.95</v>
      </c>
      <c r="H10" s="5" t="s">
        <v>3</v>
      </c>
      <c r="I10" s="5" t="s">
        <v>4</v>
      </c>
      <c r="M10">
        <v>95.86</v>
      </c>
    </row>
    <row r="11" spans="1:13" x14ac:dyDescent="0.2">
      <c r="A11">
        <v>22</v>
      </c>
      <c r="B11">
        <v>225.73</v>
      </c>
      <c r="D11">
        <v>31</v>
      </c>
      <c r="E11">
        <v>175.3</v>
      </c>
      <c r="G11" t="s">
        <v>5</v>
      </c>
      <c r="H11" s="7">
        <f>STDEV($B$2:$B$49)</f>
        <v>51.438925611260551</v>
      </c>
      <c r="I11" s="7">
        <f>STDEV($E$2:$E$53)</f>
        <v>49.986672982201732</v>
      </c>
      <c r="M11">
        <v>225.73</v>
      </c>
    </row>
    <row r="12" spans="1:13" x14ac:dyDescent="0.2">
      <c r="A12">
        <v>22</v>
      </c>
      <c r="B12">
        <v>233.7</v>
      </c>
      <c r="D12">
        <v>31</v>
      </c>
      <c r="E12">
        <v>257.7</v>
      </c>
      <c r="G12" t="s">
        <v>7</v>
      </c>
      <c r="H12" s="7">
        <f>H11^2</f>
        <v>2645.9630680407968</v>
      </c>
      <c r="I12" s="7">
        <f>I11^2</f>
        <v>2498.6674758295767</v>
      </c>
      <c r="M12">
        <v>233.7</v>
      </c>
    </row>
    <row r="13" spans="1:13" x14ac:dyDescent="0.2">
      <c r="A13">
        <v>23</v>
      </c>
      <c r="B13">
        <v>168.52</v>
      </c>
      <c r="D13">
        <v>31</v>
      </c>
      <c r="E13">
        <v>209.97</v>
      </c>
      <c r="H13" s="9"/>
      <c r="I13" s="9"/>
      <c r="M13">
        <v>168.52</v>
      </c>
    </row>
    <row r="14" spans="1:13" x14ac:dyDescent="0.2">
      <c r="A14">
        <v>23</v>
      </c>
      <c r="B14">
        <v>157.44999999999999</v>
      </c>
      <c r="D14">
        <v>31</v>
      </c>
      <c r="E14">
        <v>245.97</v>
      </c>
      <c r="G14" s="16" t="s">
        <v>13</v>
      </c>
      <c r="H14" s="16"/>
      <c r="I14" s="16"/>
      <c r="M14">
        <v>157.44999999999999</v>
      </c>
    </row>
    <row r="15" spans="1:13" ht="13.5" thickBot="1" x14ac:dyDescent="0.25">
      <c r="A15">
        <v>23</v>
      </c>
      <c r="B15">
        <v>126.87</v>
      </c>
      <c r="D15">
        <v>32</v>
      </c>
      <c r="E15">
        <v>268.77999999999997</v>
      </c>
      <c r="G15" s="16"/>
      <c r="H15" s="16"/>
      <c r="I15" s="16"/>
      <c r="M15">
        <v>126.87</v>
      </c>
    </row>
    <row r="16" spans="1:13" x14ac:dyDescent="0.2">
      <c r="A16">
        <v>23</v>
      </c>
      <c r="B16">
        <v>174.19</v>
      </c>
      <c r="D16">
        <v>32</v>
      </c>
      <c r="E16">
        <v>259.08999999999997</v>
      </c>
      <c r="G16" s="17"/>
      <c r="H16" s="17" t="s">
        <v>14</v>
      </c>
      <c r="I16" s="17" t="s">
        <v>15</v>
      </c>
      <c r="M16">
        <v>174.19</v>
      </c>
    </row>
    <row r="17" spans="1:13" x14ac:dyDescent="0.2">
      <c r="A17">
        <v>24</v>
      </c>
      <c r="B17">
        <v>240.92</v>
      </c>
      <c r="D17">
        <v>32</v>
      </c>
      <c r="E17">
        <v>211.99</v>
      </c>
      <c r="G17" s="18" t="s">
        <v>16</v>
      </c>
      <c r="H17" s="18">
        <v>181.11788461538455</v>
      </c>
      <c r="I17" s="18">
        <v>171.29145833333334</v>
      </c>
      <c r="M17">
        <v>240.92</v>
      </c>
    </row>
    <row r="18" spans="1:13" x14ac:dyDescent="0.2">
      <c r="A18">
        <v>24</v>
      </c>
      <c r="B18">
        <v>224.54</v>
      </c>
      <c r="D18">
        <v>32</v>
      </c>
      <c r="E18">
        <v>164.58</v>
      </c>
      <c r="G18" s="18" t="s">
        <v>17</v>
      </c>
      <c r="H18" s="18">
        <v>2498.6674758295767</v>
      </c>
      <c r="I18" s="18">
        <v>2645.9630680407963</v>
      </c>
      <c r="M18">
        <v>224.54</v>
      </c>
    </row>
    <row r="19" spans="1:13" x14ac:dyDescent="0.2">
      <c r="A19">
        <v>24</v>
      </c>
      <c r="B19">
        <v>296.5</v>
      </c>
      <c r="D19">
        <v>32</v>
      </c>
      <c r="E19">
        <v>167.08</v>
      </c>
      <c r="G19" s="18" t="s">
        <v>18</v>
      </c>
      <c r="H19" s="18">
        <v>52</v>
      </c>
      <c r="I19" s="18">
        <v>48</v>
      </c>
      <c r="M19">
        <v>296.5</v>
      </c>
    </row>
    <row r="20" spans="1:13" x14ac:dyDescent="0.2">
      <c r="A20">
        <v>24</v>
      </c>
      <c r="B20">
        <v>183.17</v>
      </c>
      <c r="D20">
        <v>32</v>
      </c>
      <c r="E20">
        <v>193.82</v>
      </c>
      <c r="G20" s="18" t="s">
        <v>19</v>
      </c>
      <c r="H20" s="18">
        <v>0</v>
      </c>
      <c r="I20" s="18"/>
      <c r="M20">
        <v>183.17</v>
      </c>
    </row>
    <row r="21" spans="1:13" x14ac:dyDescent="0.2">
      <c r="A21">
        <v>24</v>
      </c>
      <c r="B21">
        <v>225.33</v>
      </c>
      <c r="D21">
        <v>32</v>
      </c>
      <c r="E21">
        <v>128.13999999999999</v>
      </c>
      <c r="G21" s="18" t="s">
        <v>20</v>
      </c>
      <c r="H21" s="18">
        <v>97</v>
      </c>
      <c r="I21" s="18"/>
      <c r="M21">
        <v>225.33</v>
      </c>
    </row>
    <row r="22" spans="1:13" x14ac:dyDescent="0.2">
      <c r="A22">
        <v>24</v>
      </c>
      <c r="B22">
        <v>225.87</v>
      </c>
      <c r="D22">
        <v>32</v>
      </c>
      <c r="E22">
        <v>179.75</v>
      </c>
      <c r="G22" s="18" t="s">
        <v>21</v>
      </c>
      <c r="H22" s="18">
        <v>0.96740259935488937</v>
      </c>
      <c r="I22" s="18"/>
      <c r="M22">
        <v>225.87</v>
      </c>
    </row>
    <row r="23" spans="1:13" x14ac:dyDescent="0.2">
      <c r="A23">
        <v>24</v>
      </c>
      <c r="B23">
        <v>147.27000000000001</v>
      </c>
      <c r="D23">
        <v>33</v>
      </c>
      <c r="E23">
        <v>225.3</v>
      </c>
      <c r="G23" s="18" t="s">
        <v>22</v>
      </c>
      <c r="H23" s="18">
        <v>0.16787434217602748</v>
      </c>
      <c r="I23" s="18"/>
      <c r="M23">
        <v>147.27000000000001</v>
      </c>
    </row>
    <row r="24" spans="1:13" x14ac:dyDescent="0.2">
      <c r="A24">
        <v>24</v>
      </c>
      <c r="B24">
        <v>236.28</v>
      </c>
      <c r="D24">
        <v>34</v>
      </c>
      <c r="E24">
        <v>196.89</v>
      </c>
      <c r="G24" s="18" t="s">
        <v>23</v>
      </c>
      <c r="H24" s="18">
        <v>1.6607145880698226</v>
      </c>
      <c r="I24" s="18"/>
      <c r="M24">
        <v>236.28</v>
      </c>
    </row>
    <row r="25" spans="1:13" x14ac:dyDescent="0.2">
      <c r="A25">
        <v>24</v>
      </c>
      <c r="B25">
        <v>184.94</v>
      </c>
      <c r="D25">
        <v>34</v>
      </c>
      <c r="E25">
        <v>160.57</v>
      </c>
      <c r="G25" s="18" t="s">
        <v>24</v>
      </c>
      <c r="H25" s="18">
        <v>0.33574868435205496</v>
      </c>
      <c r="I25" s="18"/>
      <c r="M25">
        <v>184.94</v>
      </c>
    </row>
    <row r="26" spans="1:13" ht="13.5" thickBot="1" x14ac:dyDescent="0.25">
      <c r="A26">
        <v>25</v>
      </c>
      <c r="B26">
        <v>199.54</v>
      </c>
      <c r="D26">
        <v>34</v>
      </c>
      <c r="E26">
        <v>196.38</v>
      </c>
      <c r="G26" s="19" t="s">
        <v>25</v>
      </c>
      <c r="H26" s="19">
        <v>1.9847220755764283</v>
      </c>
      <c r="I26" s="19"/>
      <c r="M26">
        <v>199.54</v>
      </c>
    </row>
    <row r="27" spans="1:13" x14ac:dyDescent="0.2">
      <c r="A27">
        <v>26</v>
      </c>
      <c r="B27">
        <v>147.85</v>
      </c>
      <c r="D27">
        <v>34</v>
      </c>
      <c r="E27">
        <v>280.22000000000003</v>
      </c>
      <c r="G27" s="16"/>
      <c r="H27" s="16"/>
      <c r="I27" s="16"/>
      <c r="M27">
        <v>147.85</v>
      </c>
    </row>
    <row r="28" spans="1:13" x14ac:dyDescent="0.2">
      <c r="A28">
        <v>26</v>
      </c>
      <c r="B28">
        <v>93.45</v>
      </c>
      <c r="D28">
        <v>35</v>
      </c>
      <c r="E28">
        <v>180.81</v>
      </c>
      <c r="G28" s="16" t="s">
        <v>67</v>
      </c>
      <c r="H28" s="16"/>
      <c r="I28" s="16"/>
      <c r="M28">
        <v>93.45</v>
      </c>
    </row>
    <row r="29" spans="1:13" x14ac:dyDescent="0.2">
      <c r="A29">
        <v>26</v>
      </c>
      <c r="B29">
        <v>245.39</v>
      </c>
      <c r="D29">
        <v>35</v>
      </c>
      <c r="E29">
        <v>159.26</v>
      </c>
      <c r="G29" s="11" t="s">
        <v>12</v>
      </c>
      <c r="H29" s="15"/>
      <c r="I29" s="15"/>
      <c r="M29">
        <v>245.39</v>
      </c>
    </row>
    <row r="30" spans="1:13" x14ac:dyDescent="0.2">
      <c r="A30">
        <v>26</v>
      </c>
      <c r="B30">
        <v>108.51</v>
      </c>
      <c r="D30">
        <v>35</v>
      </c>
      <c r="E30">
        <v>184.05</v>
      </c>
      <c r="G30" s="15"/>
      <c r="H30" s="15"/>
      <c r="I30" s="15"/>
      <c r="M30">
        <v>108.51</v>
      </c>
    </row>
    <row r="31" spans="1:13" x14ac:dyDescent="0.2">
      <c r="A31">
        <v>26</v>
      </c>
      <c r="B31">
        <v>105.14</v>
      </c>
      <c r="D31">
        <v>35</v>
      </c>
      <c r="E31">
        <v>194.57</v>
      </c>
      <c r="G31" s="13" t="s">
        <v>73</v>
      </c>
      <c r="M31">
        <v>105.14</v>
      </c>
    </row>
    <row r="32" spans="1:13" x14ac:dyDescent="0.2">
      <c r="A32">
        <v>26</v>
      </c>
      <c r="B32">
        <v>110.11</v>
      </c>
      <c r="D32">
        <v>35</v>
      </c>
      <c r="E32">
        <v>187.06</v>
      </c>
      <c r="G32" t="s">
        <v>6</v>
      </c>
      <c r="M32">
        <v>110.11</v>
      </c>
    </row>
    <row r="33" spans="1:13" x14ac:dyDescent="0.2">
      <c r="A33">
        <v>26</v>
      </c>
      <c r="B33">
        <v>266.68</v>
      </c>
      <c r="D33">
        <v>35</v>
      </c>
      <c r="E33">
        <v>260.45</v>
      </c>
      <c r="H33" s="6"/>
      <c r="M33">
        <v>266.68</v>
      </c>
    </row>
    <row r="34" spans="1:13" x14ac:dyDescent="0.2">
      <c r="A34">
        <v>27</v>
      </c>
      <c r="B34">
        <v>211.11</v>
      </c>
      <c r="D34">
        <v>35</v>
      </c>
      <c r="E34">
        <v>143.94</v>
      </c>
      <c r="G34" t="s">
        <v>5</v>
      </c>
      <c r="M34">
        <v>211.11</v>
      </c>
    </row>
    <row r="35" spans="1:13" x14ac:dyDescent="0.2">
      <c r="A35">
        <v>27</v>
      </c>
      <c r="B35">
        <v>200.9</v>
      </c>
      <c r="D35">
        <v>36</v>
      </c>
      <c r="E35">
        <v>199.25</v>
      </c>
      <c r="H35" s="5" t="s">
        <v>3</v>
      </c>
      <c r="I35" s="5" t="s">
        <v>4</v>
      </c>
      <c r="M35">
        <v>200.9</v>
      </c>
    </row>
    <row r="36" spans="1:13" x14ac:dyDescent="0.2">
      <c r="A36">
        <v>27</v>
      </c>
      <c r="B36">
        <v>165.88</v>
      </c>
      <c r="D36">
        <v>36</v>
      </c>
      <c r="E36">
        <v>153.16</v>
      </c>
      <c r="H36" s="7">
        <f>STDEV($B$2:$B$97)</f>
        <v>51.438925611260551</v>
      </c>
      <c r="I36" s="7">
        <f>STDEV($E$2:$E$105)</f>
        <v>49.986672982201732</v>
      </c>
      <c r="M36">
        <v>165.88</v>
      </c>
    </row>
    <row r="37" spans="1:13" x14ac:dyDescent="0.2">
      <c r="A37">
        <v>27</v>
      </c>
      <c r="B37">
        <v>158.51</v>
      </c>
      <c r="D37">
        <v>36</v>
      </c>
      <c r="E37">
        <v>163.79</v>
      </c>
      <c r="G37" s="13" t="s">
        <v>72</v>
      </c>
      <c r="M37">
        <v>158.51</v>
      </c>
    </row>
    <row r="38" spans="1:13" x14ac:dyDescent="0.2">
      <c r="A38">
        <v>27</v>
      </c>
      <c r="B38">
        <v>146.21</v>
      </c>
      <c r="D38">
        <v>36</v>
      </c>
      <c r="E38">
        <v>155.32</v>
      </c>
      <c r="G38" t="s">
        <v>10</v>
      </c>
      <c r="M38">
        <v>146.21</v>
      </c>
    </row>
    <row r="39" spans="1:13" x14ac:dyDescent="0.2">
      <c r="A39">
        <v>27</v>
      </c>
      <c r="B39">
        <v>152.62</v>
      </c>
      <c r="D39">
        <v>37</v>
      </c>
      <c r="E39">
        <v>136.99</v>
      </c>
      <c r="M39">
        <v>152.62</v>
      </c>
    </row>
    <row r="40" spans="1:13" x14ac:dyDescent="0.2">
      <c r="A40">
        <v>27</v>
      </c>
      <c r="B40">
        <v>258.02999999999997</v>
      </c>
      <c r="D40">
        <v>37</v>
      </c>
      <c r="E40">
        <v>127.51</v>
      </c>
      <c r="G40" s="16" t="s">
        <v>26</v>
      </c>
      <c r="H40" s="16"/>
      <c r="I40" s="16"/>
      <c r="M40">
        <v>258.02999999999997</v>
      </c>
    </row>
    <row r="41" spans="1:13" ht="13.5" thickBot="1" x14ac:dyDescent="0.25">
      <c r="A41">
        <v>27</v>
      </c>
      <c r="B41">
        <v>90.52</v>
      </c>
      <c r="D41">
        <v>37</v>
      </c>
      <c r="E41">
        <v>209.28</v>
      </c>
      <c r="G41" s="16"/>
      <c r="H41" s="16"/>
      <c r="I41" s="16"/>
      <c r="M41">
        <v>90.52</v>
      </c>
    </row>
    <row r="42" spans="1:13" x14ac:dyDescent="0.2">
      <c r="A42">
        <v>27</v>
      </c>
      <c r="B42">
        <v>108.32</v>
      </c>
      <c r="D42">
        <v>37</v>
      </c>
      <c r="E42">
        <v>165.37</v>
      </c>
      <c r="G42" s="17"/>
      <c r="H42" s="17" t="s">
        <v>14</v>
      </c>
      <c r="I42" s="17" t="s">
        <v>15</v>
      </c>
      <c r="M42">
        <v>108.32</v>
      </c>
    </row>
    <row r="43" spans="1:13" x14ac:dyDescent="0.2">
      <c r="A43">
        <v>27</v>
      </c>
      <c r="B43">
        <v>170.58</v>
      </c>
      <c r="D43">
        <v>37</v>
      </c>
      <c r="E43">
        <v>240.21</v>
      </c>
      <c r="G43" s="18" t="s">
        <v>16</v>
      </c>
      <c r="H43" s="18">
        <v>171.29145833333334</v>
      </c>
      <c r="I43" s="18">
        <v>181.11788461538455</v>
      </c>
      <c r="M43">
        <v>170.58</v>
      </c>
    </row>
    <row r="44" spans="1:13" x14ac:dyDescent="0.2">
      <c r="A44">
        <v>28</v>
      </c>
      <c r="B44">
        <v>185.51</v>
      </c>
      <c r="D44">
        <v>37</v>
      </c>
      <c r="E44">
        <v>270.58999999999997</v>
      </c>
      <c r="G44" s="18" t="s">
        <v>17</v>
      </c>
      <c r="H44" s="18">
        <v>2645.9630680407963</v>
      </c>
      <c r="I44" s="18">
        <v>2498.6674758295767</v>
      </c>
      <c r="M44">
        <v>185.51</v>
      </c>
    </row>
    <row r="45" spans="1:13" x14ac:dyDescent="0.2">
      <c r="A45">
        <v>28</v>
      </c>
      <c r="B45">
        <v>128.55000000000001</v>
      </c>
      <c r="D45">
        <v>37</v>
      </c>
      <c r="E45">
        <v>115.7</v>
      </c>
      <c r="G45" s="18" t="s">
        <v>18</v>
      </c>
      <c r="H45" s="18">
        <v>48</v>
      </c>
      <c r="I45" s="18">
        <v>52</v>
      </c>
      <c r="M45">
        <v>128.55000000000001</v>
      </c>
    </row>
    <row r="46" spans="1:13" x14ac:dyDescent="0.2">
      <c r="A46">
        <v>28</v>
      </c>
      <c r="B46">
        <v>130.52000000000001</v>
      </c>
      <c r="D46">
        <v>38</v>
      </c>
      <c r="E46">
        <v>156.66999999999999</v>
      </c>
      <c r="G46" s="18" t="s">
        <v>20</v>
      </c>
      <c r="H46" s="18">
        <v>47</v>
      </c>
      <c r="I46" s="18">
        <v>51</v>
      </c>
      <c r="M46">
        <v>130.52000000000001</v>
      </c>
    </row>
    <row r="47" spans="1:13" x14ac:dyDescent="0.2">
      <c r="A47">
        <v>28</v>
      </c>
      <c r="B47">
        <v>129.37</v>
      </c>
      <c r="D47">
        <v>38</v>
      </c>
      <c r="E47">
        <v>177.08</v>
      </c>
      <c r="G47" s="18" t="s">
        <v>27</v>
      </c>
      <c r="H47" s="18">
        <v>1.0589496576219357</v>
      </c>
      <c r="I47" s="18"/>
      <c r="M47">
        <v>129.37</v>
      </c>
    </row>
    <row r="48" spans="1:13" x14ac:dyDescent="0.2">
      <c r="A48">
        <v>29</v>
      </c>
      <c r="B48">
        <v>124.09</v>
      </c>
      <c r="D48">
        <v>39</v>
      </c>
      <c r="E48">
        <v>126.05</v>
      </c>
      <c r="G48" s="18" t="s">
        <v>28</v>
      </c>
      <c r="H48" s="18">
        <v>0.41946967598146556</v>
      </c>
      <c r="I48" s="18"/>
      <c r="M48">
        <v>124.09</v>
      </c>
    </row>
    <row r="49" spans="1:13" ht="13.5" thickBot="1" x14ac:dyDescent="0.25">
      <c r="A49">
        <v>29</v>
      </c>
      <c r="B49">
        <v>215.89</v>
      </c>
      <c r="D49">
        <v>39</v>
      </c>
      <c r="E49">
        <v>148.41999999999999</v>
      </c>
      <c r="G49" s="19" t="s">
        <v>29</v>
      </c>
      <c r="H49" s="19">
        <v>1.6036736383284733</v>
      </c>
      <c r="I49" s="19"/>
      <c r="M49">
        <v>215.89</v>
      </c>
    </row>
    <row r="50" spans="1:13" x14ac:dyDescent="0.2">
      <c r="B50"/>
      <c r="D50">
        <v>39</v>
      </c>
      <c r="E50">
        <v>106.21</v>
      </c>
      <c r="G50" s="16"/>
      <c r="H50" s="16"/>
      <c r="I50" s="16"/>
      <c r="M50">
        <v>153.52000000000001</v>
      </c>
    </row>
    <row r="51" spans="1:13" x14ac:dyDescent="0.2">
      <c r="B51"/>
      <c r="D51">
        <v>39</v>
      </c>
      <c r="E51">
        <v>135.29</v>
      </c>
      <c r="G51" s="16" t="s">
        <v>30</v>
      </c>
      <c r="H51" s="16"/>
      <c r="I51" s="16"/>
      <c r="M51">
        <v>169.99</v>
      </c>
    </row>
    <row r="52" spans="1:13" x14ac:dyDescent="0.2">
      <c r="B52"/>
      <c r="D52">
        <v>39</v>
      </c>
      <c r="E52">
        <v>168.09</v>
      </c>
      <c r="G52" s="16"/>
      <c r="H52" s="16"/>
      <c r="I52" s="16"/>
      <c r="M52">
        <v>120.5</v>
      </c>
    </row>
    <row r="53" spans="1:13" x14ac:dyDescent="0.2">
      <c r="B53"/>
      <c r="D53">
        <v>39</v>
      </c>
      <c r="E53">
        <v>257.14</v>
      </c>
      <c r="G53" s="16" t="s">
        <v>68</v>
      </c>
      <c r="H53" s="16"/>
      <c r="I53" s="16"/>
      <c r="M53">
        <v>146.03</v>
      </c>
    </row>
    <row r="54" spans="1:13" x14ac:dyDescent="0.2">
      <c r="B54"/>
      <c r="D54"/>
      <c r="M54">
        <v>225</v>
      </c>
    </row>
    <row r="55" spans="1:13" ht="15.75" x14ac:dyDescent="0.25">
      <c r="B55"/>
      <c r="D55"/>
      <c r="G55" s="10" t="s">
        <v>74</v>
      </c>
      <c r="M55">
        <v>91.7</v>
      </c>
    </row>
    <row r="56" spans="1:13" ht="15.75" x14ac:dyDescent="0.25">
      <c r="B56"/>
      <c r="D56"/>
      <c r="G56" s="10"/>
      <c r="M56">
        <v>264.08</v>
      </c>
    </row>
    <row r="57" spans="1:13" ht="15.75" x14ac:dyDescent="0.25">
      <c r="B57"/>
      <c r="D57"/>
      <c r="G57" s="20" t="s">
        <v>33</v>
      </c>
      <c r="H57" s="16"/>
      <c r="I57" s="16"/>
      <c r="M57">
        <v>101.57</v>
      </c>
    </row>
    <row r="58" spans="1:13" ht="15.75" x14ac:dyDescent="0.25">
      <c r="B58"/>
      <c r="D58"/>
      <c r="G58" s="20" t="s">
        <v>31</v>
      </c>
      <c r="H58" s="16"/>
      <c r="I58" s="16">
        <f>(COUNT(E2:E53)-1)*49.99^2/15^2</f>
        <v>566.44002266666666</v>
      </c>
      <c r="M58">
        <v>101.95</v>
      </c>
    </row>
    <row r="59" spans="1:13" ht="15.75" x14ac:dyDescent="0.25">
      <c r="B59"/>
      <c r="D59"/>
      <c r="G59" s="20" t="s">
        <v>32</v>
      </c>
      <c r="H59" s="16">
        <f>COUNT(E2:E53)</f>
        <v>52</v>
      </c>
      <c r="I59" s="16"/>
      <c r="M59">
        <v>175.3</v>
      </c>
    </row>
    <row r="60" spans="1:13" ht="15.75" x14ac:dyDescent="0.25">
      <c r="B60"/>
      <c r="D60"/>
      <c r="G60" s="20" t="s">
        <v>75</v>
      </c>
      <c r="H60" s="16">
        <f>CHIINV(0.05,51)</f>
        <v>68.669293912285795</v>
      </c>
      <c r="I60" s="16"/>
      <c r="M60">
        <v>257.7</v>
      </c>
    </row>
    <row r="61" spans="1:13" ht="15.75" x14ac:dyDescent="0.25">
      <c r="B61"/>
      <c r="D61"/>
      <c r="G61" s="20" t="s">
        <v>37</v>
      </c>
      <c r="H61" s="16"/>
      <c r="I61" s="16"/>
      <c r="M61">
        <v>209.97</v>
      </c>
    </row>
    <row r="62" spans="1:13" ht="15.75" x14ac:dyDescent="0.25">
      <c r="B62"/>
      <c r="D62"/>
      <c r="G62" s="20" t="s">
        <v>117</v>
      </c>
      <c r="H62" s="16">
        <f>CHIDIST(I58,51)</f>
        <v>4.2245485324503108E-88</v>
      </c>
      <c r="M62">
        <v>245.97</v>
      </c>
    </row>
    <row r="63" spans="1:13" ht="15.75" x14ac:dyDescent="0.25">
      <c r="B63"/>
      <c r="D63"/>
      <c r="G63" s="10"/>
      <c r="H63" s="16"/>
      <c r="M63">
        <v>268.77999999999997</v>
      </c>
    </row>
    <row r="64" spans="1:13" ht="15.75" x14ac:dyDescent="0.25">
      <c r="B64"/>
      <c r="D64"/>
      <c r="G64" s="10" t="s">
        <v>76</v>
      </c>
      <c r="M64">
        <v>259.08999999999997</v>
      </c>
    </row>
    <row r="65" spans="2:13" x14ac:dyDescent="0.2">
      <c r="B65"/>
      <c r="D65"/>
      <c r="M65">
        <v>211.99</v>
      </c>
    </row>
    <row r="66" spans="2:13" ht="15.75" x14ac:dyDescent="0.25">
      <c r="B66"/>
      <c r="D66"/>
      <c r="G66" s="20" t="s">
        <v>34</v>
      </c>
      <c r="H66" s="16">
        <f>(96*H4+104*I4)/200</f>
        <v>176.40119999999996</v>
      </c>
      <c r="M66">
        <v>164.58</v>
      </c>
    </row>
    <row r="67" spans="2:13" x14ac:dyDescent="0.2">
      <c r="B67"/>
      <c r="D67"/>
      <c r="G67" s="16" t="s">
        <v>78</v>
      </c>
      <c r="H67" s="16">
        <v>100</v>
      </c>
      <c r="M67">
        <v>167.08</v>
      </c>
    </row>
    <row r="68" spans="2:13" x14ac:dyDescent="0.2">
      <c r="B68"/>
      <c r="D68"/>
      <c r="G68" s="21" t="s">
        <v>35</v>
      </c>
      <c r="H68" s="16"/>
      <c r="M68">
        <v>193.82</v>
      </c>
    </row>
    <row r="69" spans="2:13" x14ac:dyDescent="0.2">
      <c r="B69"/>
      <c r="D69"/>
      <c r="G69" s="16"/>
      <c r="H69" s="16"/>
      <c r="M69">
        <v>128.13999999999999</v>
      </c>
    </row>
    <row r="70" spans="2:13" x14ac:dyDescent="0.2">
      <c r="B70"/>
      <c r="D70"/>
      <c r="G70" s="16" t="s">
        <v>36</v>
      </c>
      <c r="H70" s="16">
        <v>50.67</v>
      </c>
      <c r="M70">
        <v>179.75</v>
      </c>
    </row>
    <row r="71" spans="2:13" x14ac:dyDescent="0.2">
      <c r="B71"/>
      <c r="D71"/>
      <c r="G71" s="16" t="s">
        <v>38</v>
      </c>
      <c r="H71" s="16">
        <f>H70/SQRT(100)</f>
        <v>5.0670000000000002</v>
      </c>
      <c r="M71">
        <v>225.3</v>
      </c>
    </row>
    <row r="72" spans="2:13" x14ac:dyDescent="0.2">
      <c r="B72"/>
      <c r="D72"/>
      <c r="G72" s="16" t="s">
        <v>79</v>
      </c>
      <c r="H72" s="16">
        <f>NORMSINV(0.95)</f>
        <v>1.6448536269514715</v>
      </c>
      <c r="M72">
        <v>196.89</v>
      </c>
    </row>
    <row r="73" spans="2:13" x14ac:dyDescent="0.2">
      <c r="B73"/>
      <c r="D73"/>
      <c r="G73" s="16" t="s">
        <v>77</v>
      </c>
      <c r="H73" s="16">
        <f>(H66-120)/H71</f>
        <v>11.131083481349902</v>
      </c>
      <c r="M73">
        <v>160.57</v>
      </c>
    </row>
    <row r="74" spans="2:13" x14ac:dyDescent="0.2">
      <c r="B74"/>
      <c r="D74"/>
      <c r="G74" s="16"/>
      <c r="H74" s="16"/>
      <c r="M74">
        <v>196.38</v>
      </c>
    </row>
    <row r="75" spans="2:13" x14ac:dyDescent="0.2">
      <c r="B75"/>
      <c r="D75"/>
      <c r="G75" s="16"/>
      <c r="H75" s="16"/>
      <c r="M75">
        <v>280.22000000000003</v>
      </c>
    </row>
    <row r="76" spans="2:13" x14ac:dyDescent="0.2">
      <c r="B76"/>
      <c r="D76"/>
      <c r="G76" s="16" t="s">
        <v>80</v>
      </c>
      <c r="H76" s="16"/>
      <c r="M76">
        <v>180.81</v>
      </c>
    </row>
    <row r="77" spans="2:13" x14ac:dyDescent="0.2">
      <c r="B77"/>
      <c r="D77"/>
      <c r="G77" s="16" t="s">
        <v>117</v>
      </c>
      <c r="H77" s="16">
        <f>1-NORMSDIST(H73)</f>
        <v>0</v>
      </c>
      <c r="I77" s="14"/>
      <c r="M77">
        <v>159.26</v>
      </c>
    </row>
    <row r="78" spans="2:13" x14ac:dyDescent="0.2">
      <c r="B78"/>
      <c r="D78"/>
      <c r="G78" s="16"/>
      <c r="H78" s="16"/>
      <c r="I78" s="14"/>
      <c r="M78">
        <v>184.05</v>
      </c>
    </row>
    <row r="79" spans="2:13" x14ac:dyDescent="0.2">
      <c r="B79"/>
      <c r="D79"/>
      <c r="G79" s="16"/>
      <c r="H79" s="16"/>
      <c r="I79" s="14"/>
      <c r="M79">
        <v>194.57</v>
      </c>
    </row>
    <row r="80" spans="2:13" x14ac:dyDescent="0.2">
      <c r="B80"/>
      <c r="D80"/>
      <c r="H80" s="16"/>
      <c r="I80" s="14"/>
      <c r="M80">
        <v>187.06</v>
      </c>
    </row>
    <row r="81" spans="2:13" x14ac:dyDescent="0.2">
      <c r="B81"/>
      <c r="D81"/>
      <c r="G81" s="16" t="s">
        <v>81</v>
      </c>
      <c r="M81">
        <v>260.45</v>
      </c>
    </row>
    <row r="82" spans="2:13" x14ac:dyDescent="0.2">
      <c r="B82"/>
      <c r="D82"/>
      <c r="G82" s="16" t="s">
        <v>82</v>
      </c>
      <c r="H82" s="16">
        <f>TINV(0.1,99)</f>
        <v>1.6603911560169928</v>
      </c>
      <c r="M82">
        <v>143.94</v>
      </c>
    </row>
    <row r="83" spans="2:13" x14ac:dyDescent="0.2">
      <c r="B83"/>
      <c r="D83"/>
      <c r="G83" s="16" t="s">
        <v>117</v>
      </c>
      <c r="H83" s="16">
        <f>TDIST(H73,99,1)</f>
        <v>1.89905717176537E-19</v>
      </c>
      <c r="M83">
        <v>199.25</v>
      </c>
    </row>
    <row r="84" spans="2:13" x14ac:dyDescent="0.2">
      <c r="B84"/>
      <c r="D84"/>
      <c r="G84" s="14"/>
      <c r="H84" s="14"/>
      <c r="M84">
        <v>153.16</v>
      </c>
    </row>
    <row r="85" spans="2:13" x14ac:dyDescent="0.2">
      <c r="B85"/>
      <c r="D85"/>
      <c r="G85" s="14" t="s">
        <v>69</v>
      </c>
      <c r="H85" s="14"/>
      <c r="M85">
        <v>163.79</v>
      </c>
    </row>
    <row r="86" spans="2:13" x14ac:dyDescent="0.2">
      <c r="B86"/>
      <c r="D86"/>
      <c r="M86">
        <v>155.32</v>
      </c>
    </row>
    <row r="87" spans="2:13" x14ac:dyDescent="0.2">
      <c r="B87"/>
      <c r="D87"/>
      <c r="M87">
        <v>136.99</v>
      </c>
    </row>
    <row r="88" spans="2:13" x14ac:dyDescent="0.2">
      <c r="B88"/>
      <c r="D88"/>
      <c r="M88">
        <v>127.51</v>
      </c>
    </row>
    <row r="89" spans="2:13" x14ac:dyDescent="0.2">
      <c r="B89"/>
      <c r="D89"/>
      <c r="M89">
        <v>209.28</v>
      </c>
    </row>
    <row r="90" spans="2:13" x14ac:dyDescent="0.2">
      <c r="B90"/>
      <c r="D90"/>
      <c r="M90">
        <v>165.37</v>
      </c>
    </row>
    <row r="91" spans="2:13" x14ac:dyDescent="0.2">
      <c r="B91"/>
      <c r="D91"/>
      <c r="M91">
        <v>240.21</v>
      </c>
    </row>
    <row r="92" spans="2:13" x14ac:dyDescent="0.2">
      <c r="B92"/>
      <c r="D92"/>
      <c r="M92">
        <v>270.58999999999997</v>
      </c>
    </row>
    <row r="93" spans="2:13" x14ac:dyDescent="0.2">
      <c r="B93"/>
      <c r="D93"/>
      <c r="M93">
        <v>115.7</v>
      </c>
    </row>
    <row r="94" spans="2:13" x14ac:dyDescent="0.2">
      <c r="B94"/>
      <c r="D94"/>
      <c r="M94">
        <v>156.66999999999999</v>
      </c>
    </row>
    <row r="95" spans="2:13" x14ac:dyDescent="0.2">
      <c r="B95"/>
      <c r="D95"/>
      <c r="M95">
        <v>177.08</v>
      </c>
    </row>
    <row r="96" spans="2:13" x14ac:dyDescent="0.2">
      <c r="B96"/>
      <c r="D96"/>
      <c r="M96">
        <v>126.05</v>
      </c>
    </row>
    <row r="97" spans="2:13" x14ac:dyDescent="0.2">
      <c r="B97"/>
      <c r="D97"/>
      <c r="M97">
        <v>148.41999999999999</v>
      </c>
    </row>
    <row r="98" spans="2:13" x14ac:dyDescent="0.2">
      <c r="B98"/>
      <c r="D98"/>
      <c r="M98">
        <v>106.21</v>
      </c>
    </row>
    <row r="99" spans="2:13" x14ac:dyDescent="0.2">
      <c r="B99"/>
      <c r="D99"/>
      <c r="M99">
        <v>135.29</v>
      </c>
    </row>
    <row r="100" spans="2:13" x14ac:dyDescent="0.2">
      <c r="B100"/>
      <c r="D100"/>
      <c r="M100">
        <v>168.09</v>
      </c>
    </row>
    <row r="101" spans="2:13" x14ac:dyDescent="0.2">
      <c r="B101"/>
      <c r="D101"/>
      <c r="M101">
        <v>257.14</v>
      </c>
    </row>
    <row r="102" spans="2:13" x14ac:dyDescent="0.2">
      <c r="B102"/>
      <c r="D102"/>
    </row>
    <row r="103" spans="2:13" x14ac:dyDescent="0.2">
      <c r="B103"/>
      <c r="D103"/>
    </row>
    <row r="104" spans="2:13" x14ac:dyDescent="0.2">
      <c r="B104"/>
      <c r="D104"/>
    </row>
    <row r="105" spans="2:13" x14ac:dyDescent="0.2">
      <c r="B105"/>
      <c r="D105"/>
    </row>
    <row r="106" spans="2:13" x14ac:dyDescent="0.2">
      <c r="B106"/>
    </row>
    <row r="107" spans="2:13" x14ac:dyDescent="0.2">
      <c r="B107"/>
    </row>
    <row r="108" spans="2:13" x14ac:dyDescent="0.2">
      <c r="B108"/>
    </row>
    <row r="109" spans="2:13" x14ac:dyDescent="0.2">
      <c r="B109"/>
    </row>
    <row r="110" spans="2:13" x14ac:dyDescent="0.2">
      <c r="B110"/>
    </row>
    <row r="111" spans="2:13" x14ac:dyDescent="0.2">
      <c r="B111"/>
    </row>
    <row r="112" spans="2:13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7" spans="2:2" x14ac:dyDescent="0.2">
      <c r="B137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90" spans="2:2" x14ac:dyDescent="0.2">
      <c r="B190"/>
    </row>
    <row r="191" spans="2:2" x14ac:dyDescent="0.2">
      <c r="B191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C18" sqref="C18"/>
    </sheetView>
  </sheetViews>
  <sheetFormatPr defaultRowHeight="12.75" x14ac:dyDescent="0.2"/>
  <cols>
    <col min="3" max="3" width="13.42578125" customWidth="1"/>
    <col min="4" max="4" width="16.42578125" customWidth="1"/>
  </cols>
  <sheetData>
    <row r="2" spans="2:4" x14ac:dyDescent="0.2">
      <c r="B2" s="41" t="s">
        <v>106</v>
      </c>
      <c r="C2" s="41" t="s">
        <v>114</v>
      </c>
      <c r="D2" s="41" t="s">
        <v>115</v>
      </c>
    </row>
    <row r="3" spans="2:4" x14ac:dyDescent="0.2">
      <c r="B3" s="5"/>
      <c r="C3" s="5"/>
    </row>
    <row r="4" spans="2:4" x14ac:dyDescent="0.2">
      <c r="B4" s="9" t="s">
        <v>107</v>
      </c>
      <c r="C4" s="5">
        <v>13</v>
      </c>
      <c r="D4" s="6">
        <f>100/7</f>
        <v>14.285714285714286</v>
      </c>
    </row>
    <row r="5" spans="2:4" x14ac:dyDescent="0.2">
      <c r="B5" s="9" t="s">
        <v>108</v>
      </c>
      <c r="C5" s="5">
        <v>20</v>
      </c>
      <c r="D5" s="6">
        <f t="shared" ref="D5:D10" si="0">100/7</f>
        <v>14.285714285714286</v>
      </c>
    </row>
    <row r="6" spans="2:4" x14ac:dyDescent="0.2">
      <c r="B6" s="9" t="s">
        <v>109</v>
      </c>
      <c r="C6" s="5">
        <v>24</v>
      </c>
      <c r="D6" s="6">
        <f t="shared" si="0"/>
        <v>14.285714285714286</v>
      </c>
    </row>
    <row r="7" spans="2:4" x14ac:dyDescent="0.2">
      <c r="B7" s="9" t="s">
        <v>110</v>
      </c>
      <c r="C7" s="5">
        <v>17</v>
      </c>
      <c r="D7" s="6">
        <f t="shared" si="0"/>
        <v>14.285714285714286</v>
      </c>
    </row>
    <row r="8" spans="2:4" x14ac:dyDescent="0.2">
      <c r="B8" s="9" t="s">
        <v>111</v>
      </c>
      <c r="C8" s="5">
        <v>11</v>
      </c>
      <c r="D8" s="6">
        <f t="shared" si="0"/>
        <v>14.285714285714286</v>
      </c>
    </row>
    <row r="9" spans="2:4" x14ac:dyDescent="0.2">
      <c r="B9" s="9" t="s">
        <v>112</v>
      </c>
      <c r="C9" s="5">
        <v>12</v>
      </c>
      <c r="D9" s="6">
        <f t="shared" si="0"/>
        <v>14.285714285714286</v>
      </c>
    </row>
    <row r="10" spans="2:4" x14ac:dyDescent="0.2">
      <c r="B10" s="9" t="s">
        <v>113</v>
      </c>
      <c r="C10" s="5">
        <v>3</v>
      </c>
      <c r="D10" s="6">
        <f t="shared" si="0"/>
        <v>14.285714285714286</v>
      </c>
    </row>
    <row r="13" spans="2:4" x14ac:dyDescent="0.2">
      <c r="C13" s="16" t="s">
        <v>116</v>
      </c>
      <c r="D13" s="16">
        <f>CHITEST(C4:C10,D4:D10)</f>
        <v>3.3153448499171692E-3</v>
      </c>
    </row>
    <row r="15" spans="2:4" x14ac:dyDescent="0.2">
      <c r="C15" s="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topLeftCell="F1" workbookViewId="0">
      <selection activeCell="O111" sqref="O111"/>
    </sheetView>
  </sheetViews>
  <sheetFormatPr defaultRowHeight="12.75" x14ac:dyDescent="0.2"/>
  <cols>
    <col min="2" max="2" width="14.5703125" bestFit="1" customWidth="1"/>
    <col min="9" max="9" width="18.7109375" bestFit="1" customWidth="1"/>
    <col min="10" max="11" width="10" customWidth="1"/>
    <col min="12" max="12" width="11.7109375" customWidth="1"/>
    <col min="13" max="15" width="17.42578125" bestFit="1" customWidth="1"/>
    <col min="16" max="16" width="10.5703125" customWidth="1"/>
    <col min="17" max="17" width="17.42578125" customWidth="1"/>
    <col min="18" max="26" width="17.42578125" bestFit="1" customWidth="1"/>
    <col min="27" max="27" width="10.5703125" bestFit="1" customWidth="1"/>
  </cols>
  <sheetData>
    <row r="1" spans="1:21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21" x14ac:dyDescent="0.2">
      <c r="A2">
        <v>1</v>
      </c>
      <c r="B2" t="s">
        <v>27</v>
      </c>
      <c r="C2">
        <v>17</v>
      </c>
      <c r="D2">
        <v>4</v>
      </c>
      <c r="E2" t="s">
        <v>46</v>
      </c>
      <c r="F2" t="s">
        <v>47</v>
      </c>
      <c r="G2">
        <v>5</v>
      </c>
      <c r="I2" s="22" t="s">
        <v>84</v>
      </c>
      <c r="J2" s="22"/>
      <c r="K2" s="22"/>
      <c r="L2" s="16" t="s">
        <v>13</v>
      </c>
      <c r="M2" s="16"/>
      <c r="N2" s="16"/>
      <c r="O2" s="16"/>
      <c r="P2" s="16"/>
      <c r="Q2" s="22" t="s">
        <v>88</v>
      </c>
      <c r="R2" s="23"/>
      <c r="S2" s="23"/>
      <c r="T2" s="23"/>
      <c r="U2" s="23"/>
    </row>
    <row r="3" spans="1:21" ht="13.5" thickBot="1" x14ac:dyDescent="0.25">
      <c r="A3">
        <v>2</v>
      </c>
      <c r="B3" t="s">
        <v>27</v>
      </c>
      <c r="C3">
        <v>6</v>
      </c>
      <c r="D3">
        <v>2</v>
      </c>
      <c r="E3" t="s">
        <v>46</v>
      </c>
      <c r="F3" t="s">
        <v>46</v>
      </c>
      <c r="G3">
        <v>2</v>
      </c>
      <c r="L3" s="16"/>
      <c r="M3" s="16"/>
      <c r="N3" s="16"/>
      <c r="O3" s="16"/>
      <c r="P3" s="16"/>
    </row>
    <row r="4" spans="1:21" x14ac:dyDescent="0.2">
      <c r="A4">
        <v>3</v>
      </c>
      <c r="B4" t="s">
        <v>48</v>
      </c>
      <c r="C4">
        <v>8</v>
      </c>
      <c r="D4">
        <v>4</v>
      </c>
      <c r="E4" t="s">
        <v>47</v>
      </c>
      <c r="F4" t="s">
        <v>47</v>
      </c>
      <c r="G4">
        <v>3</v>
      </c>
      <c r="I4" t="s">
        <v>40</v>
      </c>
      <c r="J4" t="s">
        <v>41</v>
      </c>
      <c r="L4" s="17"/>
      <c r="M4" s="17" t="s">
        <v>14</v>
      </c>
      <c r="N4" s="17" t="s">
        <v>15</v>
      </c>
      <c r="O4" s="16"/>
      <c r="P4" s="16"/>
      <c r="Q4" s="16" t="s">
        <v>26</v>
      </c>
      <c r="R4" s="16"/>
      <c r="S4" s="16"/>
    </row>
    <row r="5" spans="1:21" ht="13.5" thickBot="1" x14ac:dyDescent="0.25">
      <c r="A5">
        <v>4</v>
      </c>
      <c r="B5" t="s">
        <v>27</v>
      </c>
      <c r="C5">
        <v>8</v>
      </c>
      <c r="D5">
        <v>4</v>
      </c>
      <c r="E5" t="s">
        <v>47</v>
      </c>
      <c r="F5" t="s">
        <v>46</v>
      </c>
      <c r="G5">
        <v>3</v>
      </c>
      <c r="I5" t="s">
        <v>27</v>
      </c>
      <c r="J5">
        <v>17</v>
      </c>
      <c r="L5" s="18" t="s">
        <v>16</v>
      </c>
      <c r="M5" s="18">
        <v>19.692307692307693</v>
      </c>
      <c r="N5" s="18">
        <v>10.071428571428571</v>
      </c>
      <c r="O5" s="16"/>
      <c r="P5" s="16"/>
      <c r="Q5" s="16"/>
      <c r="R5" s="16"/>
      <c r="S5" s="16"/>
    </row>
    <row r="6" spans="1:21" x14ac:dyDescent="0.2">
      <c r="A6">
        <v>5</v>
      </c>
      <c r="B6" t="s">
        <v>48</v>
      </c>
      <c r="C6">
        <v>16</v>
      </c>
      <c r="D6">
        <v>4</v>
      </c>
      <c r="E6" t="s">
        <v>47</v>
      </c>
      <c r="F6" t="s">
        <v>47</v>
      </c>
      <c r="G6">
        <v>4</v>
      </c>
      <c r="I6" t="s">
        <v>27</v>
      </c>
      <c r="J6">
        <v>6</v>
      </c>
      <c r="L6" s="18" t="s">
        <v>17</v>
      </c>
      <c r="M6" s="18">
        <v>70.397435897435869</v>
      </c>
      <c r="N6" s="18">
        <v>19.302197802197796</v>
      </c>
      <c r="O6" s="16"/>
      <c r="P6" s="16"/>
      <c r="Q6" s="17"/>
      <c r="R6" s="17" t="s">
        <v>86</v>
      </c>
      <c r="S6" s="17" t="s">
        <v>87</v>
      </c>
    </row>
    <row r="7" spans="1:21" x14ac:dyDescent="0.2">
      <c r="A7">
        <v>6</v>
      </c>
      <c r="B7" t="s">
        <v>27</v>
      </c>
      <c r="C7">
        <v>21</v>
      </c>
      <c r="D7">
        <v>1</v>
      </c>
      <c r="E7" t="s">
        <v>46</v>
      </c>
      <c r="F7" t="s">
        <v>47</v>
      </c>
      <c r="G7">
        <v>7</v>
      </c>
      <c r="I7" t="s">
        <v>27</v>
      </c>
      <c r="J7">
        <v>8</v>
      </c>
      <c r="L7" s="18" t="s">
        <v>18</v>
      </c>
      <c r="M7" s="18">
        <v>13</v>
      </c>
      <c r="N7" s="18">
        <v>14</v>
      </c>
      <c r="O7" s="16"/>
      <c r="P7" s="16"/>
      <c r="Q7" s="18" t="s">
        <v>16</v>
      </c>
      <c r="R7" s="18">
        <v>10.071428571428571</v>
      </c>
      <c r="S7" s="18">
        <v>19.692307692307693</v>
      </c>
    </row>
    <row r="8" spans="1:21" x14ac:dyDescent="0.2">
      <c r="A8">
        <v>7</v>
      </c>
      <c r="B8" t="s">
        <v>48</v>
      </c>
      <c r="C8">
        <v>27</v>
      </c>
      <c r="D8">
        <v>4</v>
      </c>
      <c r="E8" t="s">
        <v>46</v>
      </c>
      <c r="F8" t="s">
        <v>46</v>
      </c>
      <c r="G8">
        <v>7</v>
      </c>
      <c r="I8" t="s">
        <v>27</v>
      </c>
      <c r="J8">
        <v>21</v>
      </c>
      <c r="L8" s="18" t="s">
        <v>19</v>
      </c>
      <c r="M8" s="18">
        <v>0</v>
      </c>
      <c r="N8" s="18"/>
      <c r="O8" s="16"/>
      <c r="P8" s="16"/>
      <c r="Q8" s="18" t="s">
        <v>17</v>
      </c>
      <c r="R8" s="18">
        <v>19.302197802197796</v>
      </c>
      <c r="S8" s="18">
        <v>70.397435897435869</v>
      </c>
    </row>
    <row r="9" spans="1:21" x14ac:dyDescent="0.2">
      <c r="A9">
        <v>8</v>
      </c>
      <c r="B9" t="s">
        <v>27</v>
      </c>
      <c r="C9">
        <v>7</v>
      </c>
      <c r="D9">
        <v>4</v>
      </c>
      <c r="E9" t="s">
        <v>47</v>
      </c>
      <c r="F9" t="s">
        <v>47</v>
      </c>
      <c r="G9">
        <v>2</v>
      </c>
      <c r="I9" t="s">
        <v>27</v>
      </c>
      <c r="J9">
        <v>7</v>
      </c>
      <c r="L9" s="18" t="s">
        <v>20</v>
      </c>
      <c r="M9" s="18">
        <v>18</v>
      </c>
      <c r="N9" s="18"/>
      <c r="O9" s="16"/>
      <c r="P9" s="16"/>
      <c r="Q9" s="18" t="s">
        <v>18</v>
      </c>
      <c r="R9" s="18">
        <v>14</v>
      </c>
      <c r="S9" s="18">
        <v>13</v>
      </c>
    </row>
    <row r="10" spans="1:21" x14ac:dyDescent="0.2">
      <c r="A10">
        <v>9</v>
      </c>
      <c r="B10" t="s">
        <v>48</v>
      </c>
      <c r="C10">
        <v>8</v>
      </c>
      <c r="D10">
        <v>4</v>
      </c>
      <c r="E10" t="s">
        <v>46</v>
      </c>
      <c r="F10" t="s">
        <v>46</v>
      </c>
      <c r="G10">
        <v>3</v>
      </c>
      <c r="I10" t="s">
        <v>27</v>
      </c>
      <c r="J10">
        <v>9</v>
      </c>
      <c r="L10" s="18" t="s">
        <v>21</v>
      </c>
      <c r="M10" s="18">
        <v>3.6910903701641327</v>
      </c>
      <c r="N10" s="18"/>
      <c r="O10" s="16"/>
      <c r="P10" s="16"/>
      <c r="Q10" s="18" t="s">
        <v>20</v>
      </c>
      <c r="R10" s="18">
        <v>13</v>
      </c>
      <c r="S10" s="18">
        <v>12</v>
      </c>
    </row>
    <row r="11" spans="1:21" x14ac:dyDescent="0.2">
      <c r="A11">
        <v>10</v>
      </c>
      <c r="B11" t="s">
        <v>48</v>
      </c>
      <c r="C11">
        <v>23</v>
      </c>
      <c r="D11">
        <v>2</v>
      </c>
      <c r="E11" t="s">
        <v>46</v>
      </c>
      <c r="F11" t="s">
        <v>47</v>
      </c>
      <c r="G11">
        <v>5</v>
      </c>
      <c r="I11" t="s">
        <v>27</v>
      </c>
      <c r="J11">
        <v>8</v>
      </c>
      <c r="L11" s="18" t="s">
        <v>22</v>
      </c>
      <c r="M11" s="18">
        <v>8.3574941415668561E-4</v>
      </c>
      <c r="N11" s="18"/>
      <c r="O11" s="16"/>
      <c r="P11" s="16"/>
      <c r="Q11" s="18" t="s">
        <v>27</v>
      </c>
      <c r="R11" s="18">
        <v>0.27418893253895987</v>
      </c>
      <c r="S11" s="18"/>
    </row>
    <row r="12" spans="1:21" x14ac:dyDescent="0.2">
      <c r="A12">
        <v>11</v>
      </c>
      <c r="B12" t="s">
        <v>27</v>
      </c>
      <c r="C12">
        <v>9</v>
      </c>
      <c r="D12">
        <v>4</v>
      </c>
      <c r="E12" t="s">
        <v>47</v>
      </c>
      <c r="F12" t="s">
        <v>47</v>
      </c>
      <c r="G12">
        <v>3</v>
      </c>
      <c r="I12" t="s">
        <v>27</v>
      </c>
      <c r="J12">
        <v>8</v>
      </c>
      <c r="L12" s="18" t="s">
        <v>23</v>
      </c>
      <c r="M12" s="18">
        <v>1.7340630620310549</v>
      </c>
      <c r="N12" s="18"/>
      <c r="O12" s="16"/>
      <c r="P12" s="16"/>
      <c r="Q12" s="18" t="s">
        <v>28</v>
      </c>
      <c r="R12" s="18">
        <v>1.407960015259202E-2</v>
      </c>
      <c r="S12" s="18"/>
    </row>
    <row r="13" spans="1:21" ht="13.5" thickBot="1" x14ac:dyDescent="0.25">
      <c r="A13">
        <v>12</v>
      </c>
      <c r="B13" t="s">
        <v>27</v>
      </c>
      <c r="C13">
        <v>8</v>
      </c>
      <c r="D13">
        <v>2</v>
      </c>
      <c r="E13" t="s">
        <v>46</v>
      </c>
      <c r="F13" t="s">
        <v>46</v>
      </c>
      <c r="G13">
        <v>2</v>
      </c>
      <c r="I13" t="s">
        <v>27</v>
      </c>
      <c r="J13">
        <v>9</v>
      </c>
      <c r="L13" s="18" t="s">
        <v>24</v>
      </c>
      <c r="M13" s="18">
        <v>1.6714988283133712E-3</v>
      </c>
      <c r="N13" s="18"/>
      <c r="O13" s="16"/>
      <c r="P13" s="16"/>
      <c r="Q13" s="19" t="s">
        <v>29</v>
      </c>
      <c r="R13" s="19">
        <v>0.38407461527000242</v>
      </c>
      <c r="S13" s="19"/>
    </row>
    <row r="14" spans="1:21" ht="13.5" thickBot="1" x14ac:dyDescent="0.25">
      <c r="A14">
        <v>13</v>
      </c>
      <c r="B14" t="s">
        <v>27</v>
      </c>
      <c r="C14">
        <v>8</v>
      </c>
      <c r="D14">
        <v>4</v>
      </c>
      <c r="E14" t="s">
        <v>47</v>
      </c>
      <c r="F14" t="s">
        <v>46</v>
      </c>
      <c r="G14">
        <v>2</v>
      </c>
      <c r="I14" t="s">
        <v>27</v>
      </c>
      <c r="J14">
        <v>9</v>
      </c>
      <c r="L14" s="19" t="s">
        <v>25</v>
      </c>
      <c r="M14" s="19">
        <v>2.1009236661484465</v>
      </c>
      <c r="N14" s="19"/>
      <c r="O14" s="16"/>
      <c r="P14" s="16"/>
      <c r="Q14" s="16"/>
      <c r="R14" s="16"/>
      <c r="S14" s="16"/>
    </row>
    <row r="15" spans="1:21" x14ac:dyDescent="0.2">
      <c r="A15">
        <v>14</v>
      </c>
      <c r="B15" t="s">
        <v>48</v>
      </c>
      <c r="C15">
        <v>26</v>
      </c>
      <c r="D15">
        <v>4</v>
      </c>
      <c r="E15" t="s">
        <v>46</v>
      </c>
      <c r="F15" t="s">
        <v>47</v>
      </c>
      <c r="G15">
        <v>6</v>
      </c>
      <c r="I15" t="s">
        <v>27</v>
      </c>
      <c r="J15">
        <v>14</v>
      </c>
      <c r="L15" s="16"/>
      <c r="M15" s="16"/>
      <c r="N15" s="16"/>
      <c r="O15" s="16"/>
      <c r="P15" s="16"/>
      <c r="Q15" s="16"/>
      <c r="R15" s="16"/>
      <c r="S15" s="16"/>
    </row>
    <row r="16" spans="1:21" x14ac:dyDescent="0.2">
      <c r="A16">
        <v>15</v>
      </c>
      <c r="B16" t="s">
        <v>27</v>
      </c>
      <c r="C16">
        <v>9</v>
      </c>
      <c r="D16">
        <v>4</v>
      </c>
      <c r="E16" t="s">
        <v>46</v>
      </c>
      <c r="F16" t="s">
        <v>47</v>
      </c>
      <c r="G16">
        <v>2</v>
      </c>
      <c r="I16" t="s">
        <v>27</v>
      </c>
      <c r="J16">
        <v>10</v>
      </c>
      <c r="L16" s="16"/>
      <c r="M16" s="16"/>
      <c r="N16" s="16"/>
      <c r="O16" s="16"/>
      <c r="P16" s="16"/>
      <c r="Q16" s="16" t="s">
        <v>59</v>
      </c>
      <c r="R16" s="16"/>
      <c r="S16" s="16"/>
    </row>
    <row r="17" spans="1:21" x14ac:dyDescent="0.2">
      <c r="A17">
        <v>16</v>
      </c>
      <c r="B17" t="s">
        <v>27</v>
      </c>
      <c r="C17">
        <v>9</v>
      </c>
      <c r="D17">
        <v>2</v>
      </c>
      <c r="E17" t="s">
        <v>46</v>
      </c>
      <c r="F17" t="s">
        <v>46</v>
      </c>
      <c r="G17">
        <v>2</v>
      </c>
      <c r="I17" t="s">
        <v>27</v>
      </c>
      <c r="J17">
        <v>10</v>
      </c>
      <c r="L17" s="16" t="s">
        <v>59</v>
      </c>
      <c r="M17" s="16"/>
      <c r="N17" s="16"/>
      <c r="O17" s="16"/>
      <c r="P17" s="16"/>
      <c r="Q17" s="16"/>
      <c r="R17" s="16"/>
      <c r="S17" s="16"/>
    </row>
    <row r="18" spans="1:21" x14ac:dyDescent="0.2">
      <c r="A18">
        <v>17</v>
      </c>
      <c r="B18" t="s">
        <v>48</v>
      </c>
      <c r="C18">
        <v>19</v>
      </c>
      <c r="D18">
        <v>2</v>
      </c>
      <c r="E18" t="s">
        <v>47</v>
      </c>
      <c r="F18" t="s">
        <v>47</v>
      </c>
      <c r="G18">
        <v>4</v>
      </c>
      <c r="I18" t="s">
        <v>27</v>
      </c>
      <c r="J18">
        <v>5</v>
      </c>
      <c r="L18" s="16"/>
      <c r="M18" s="16"/>
      <c r="N18" s="16"/>
      <c r="O18" s="16"/>
      <c r="P18" s="16"/>
    </row>
    <row r="19" spans="1:21" x14ac:dyDescent="0.2">
      <c r="A19">
        <v>18</v>
      </c>
      <c r="B19" t="s">
        <v>48</v>
      </c>
      <c r="C19">
        <v>5</v>
      </c>
      <c r="D19">
        <v>4</v>
      </c>
      <c r="E19" t="s">
        <v>46</v>
      </c>
      <c r="F19" t="s">
        <v>46</v>
      </c>
      <c r="G19">
        <v>4</v>
      </c>
      <c r="I19" t="s">
        <v>48</v>
      </c>
      <c r="J19">
        <v>8</v>
      </c>
      <c r="L19" s="16" t="s">
        <v>65</v>
      </c>
      <c r="M19" s="16"/>
      <c r="N19" s="16"/>
      <c r="O19" s="16"/>
      <c r="P19" s="16"/>
    </row>
    <row r="20" spans="1:21" x14ac:dyDescent="0.2">
      <c r="A20">
        <v>19</v>
      </c>
      <c r="B20" t="s">
        <v>48</v>
      </c>
      <c r="C20">
        <v>19</v>
      </c>
      <c r="D20">
        <v>4</v>
      </c>
      <c r="E20" t="s">
        <v>47</v>
      </c>
      <c r="F20" t="s">
        <v>46</v>
      </c>
      <c r="G20">
        <v>7</v>
      </c>
      <c r="I20" t="s">
        <v>48</v>
      </c>
      <c r="J20">
        <v>16</v>
      </c>
      <c r="L20" s="16"/>
      <c r="M20" s="16"/>
      <c r="N20" s="16"/>
      <c r="O20" s="16"/>
      <c r="P20" s="16"/>
      <c r="Q20" s="22" t="s">
        <v>89</v>
      </c>
      <c r="R20" s="23"/>
      <c r="S20" s="23"/>
      <c r="T20" s="23"/>
    </row>
    <row r="21" spans="1:21" x14ac:dyDescent="0.2">
      <c r="A21">
        <v>20</v>
      </c>
      <c r="B21" t="s">
        <v>48</v>
      </c>
      <c r="C21">
        <v>20</v>
      </c>
      <c r="D21">
        <v>4</v>
      </c>
      <c r="E21" t="s">
        <v>46</v>
      </c>
      <c r="F21" t="s">
        <v>46</v>
      </c>
      <c r="G21">
        <v>6</v>
      </c>
      <c r="I21" t="s">
        <v>48</v>
      </c>
      <c r="J21">
        <v>27</v>
      </c>
      <c r="L21" s="16" t="s">
        <v>66</v>
      </c>
      <c r="M21" s="16"/>
      <c r="N21" s="16"/>
      <c r="O21" s="16"/>
      <c r="P21" s="16"/>
    </row>
    <row r="22" spans="1:21" x14ac:dyDescent="0.2">
      <c r="A22">
        <v>21</v>
      </c>
      <c r="B22" t="s">
        <v>27</v>
      </c>
      <c r="C22">
        <v>14</v>
      </c>
      <c r="D22">
        <v>4</v>
      </c>
      <c r="E22" t="s">
        <v>47</v>
      </c>
      <c r="F22" t="s">
        <v>47</v>
      </c>
      <c r="G22">
        <v>4</v>
      </c>
      <c r="I22" t="s">
        <v>48</v>
      </c>
      <c r="J22">
        <v>8</v>
      </c>
      <c r="Q22" s="16" t="s">
        <v>90</v>
      </c>
      <c r="R22" s="16"/>
      <c r="S22" s="16"/>
      <c r="T22" s="16"/>
      <c r="U22" s="16"/>
    </row>
    <row r="23" spans="1:21" x14ac:dyDescent="0.2">
      <c r="A23">
        <v>22</v>
      </c>
      <c r="B23" t="s">
        <v>48</v>
      </c>
      <c r="C23">
        <v>31</v>
      </c>
      <c r="D23">
        <v>4</v>
      </c>
      <c r="E23" t="s">
        <v>46</v>
      </c>
      <c r="F23" t="s">
        <v>46</v>
      </c>
      <c r="G23">
        <v>7</v>
      </c>
      <c r="I23" t="s">
        <v>48</v>
      </c>
      <c r="J23">
        <v>23</v>
      </c>
      <c r="L23" s="16" t="s">
        <v>83</v>
      </c>
      <c r="M23" s="16"/>
      <c r="N23" s="16"/>
      <c r="O23" s="16">
        <f>1-M13</f>
        <v>0.99832850117168659</v>
      </c>
      <c r="Q23" s="16"/>
      <c r="R23" s="16"/>
      <c r="S23" s="16"/>
      <c r="T23" s="16"/>
      <c r="U23" s="16"/>
    </row>
    <row r="24" spans="1:21" x14ac:dyDescent="0.2">
      <c r="A24">
        <v>23</v>
      </c>
      <c r="B24" t="s">
        <v>27</v>
      </c>
      <c r="C24">
        <v>10</v>
      </c>
      <c r="D24">
        <v>0</v>
      </c>
      <c r="E24" t="s">
        <v>46</v>
      </c>
      <c r="F24" t="s">
        <v>46</v>
      </c>
      <c r="G24">
        <v>7</v>
      </c>
      <c r="I24" t="s">
        <v>48</v>
      </c>
      <c r="J24">
        <v>26</v>
      </c>
      <c r="Q24" s="16" t="s">
        <v>91</v>
      </c>
      <c r="R24" s="16"/>
      <c r="S24" s="16"/>
      <c r="T24" s="16">
        <f>13*R8/14</f>
        <v>17.923469387755095</v>
      </c>
      <c r="U24" s="16"/>
    </row>
    <row r="25" spans="1:21" x14ac:dyDescent="0.2">
      <c r="A25">
        <v>24</v>
      </c>
      <c r="B25" t="s">
        <v>27</v>
      </c>
      <c r="C25">
        <v>10</v>
      </c>
      <c r="D25">
        <v>4</v>
      </c>
      <c r="E25" t="s">
        <v>46</v>
      </c>
      <c r="F25" t="s">
        <v>47</v>
      </c>
      <c r="G25">
        <v>3</v>
      </c>
      <c r="I25" t="s">
        <v>48</v>
      </c>
      <c r="J25">
        <v>19</v>
      </c>
      <c r="Q25" s="16"/>
      <c r="R25" s="16"/>
      <c r="S25" s="16"/>
      <c r="T25" s="16"/>
      <c r="U25" s="16"/>
    </row>
    <row r="26" spans="1:21" x14ac:dyDescent="0.2">
      <c r="A26">
        <v>25</v>
      </c>
      <c r="B26" t="s">
        <v>48</v>
      </c>
      <c r="C26">
        <v>26</v>
      </c>
      <c r="D26">
        <v>4</v>
      </c>
      <c r="E26" t="s">
        <v>47</v>
      </c>
      <c r="F26" t="s">
        <v>47</v>
      </c>
      <c r="G26">
        <v>6</v>
      </c>
      <c r="I26" t="s">
        <v>48</v>
      </c>
      <c r="J26">
        <v>5</v>
      </c>
      <c r="Q26" s="16" t="s">
        <v>92</v>
      </c>
      <c r="R26" s="16"/>
      <c r="S26" s="16"/>
      <c r="T26" s="16">
        <f>CHIINV(0.05,13)</f>
        <v>22.362032494826938</v>
      </c>
      <c r="U26" s="16"/>
    </row>
    <row r="27" spans="1:21" x14ac:dyDescent="0.2">
      <c r="A27">
        <v>26</v>
      </c>
      <c r="B27" t="s">
        <v>48</v>
      </c>
      <c r="C27">
        <v>28</v>
      </c>
      <c r="D27">
        <v>4</v>
      </c>
      <c r="E27" t="s">
        <v>46</v>
      </c>
      <c r="F27" t="s">
        <v>46</v>
      </c>
      <c r="G27">
        <v>7</v>
      </c>
      <c r="I27" t="s">
        <v>48</v>
      </c>
      <c r="J27">
        <v>19</v>
      </c>
      <c r="Q27" s="16"/>
      <c r="R27" s="16"/>
      <c r="S27" s="16"/>
      <c r="T27" s="16"/>
      <c r="U27" s="16"/>
    </row>
    <row r="28" spans="1:21" x14ac:dyDescent="0.2">
      <c r="A28">
        <v>27</v>
      </c>
      <c r="B28" t="s">
        <v>27</v>
      </c>
      <c r="C28">
        <v>5</v>
      </c>
      <c r="D28">
        <v>4</v>
      </c>
      <c r="E28" t="s">
        <v>46</v>
      </c>
      <c r="F28" t="s">
        <v>47</v>
      </c>
      <c r="G28">
        <v>1</v>
      </c>
      <c r="I28" t="s">
        <v>48</v>
      </c>
      <c r="J28">
        <v>20</v>
      </c>
    </row>
    <row r="29" spans="1:21" x14ac:dyDescent="0.2">
      <c r="I29" t="s">
        <v>48</v>
      </c>
      <c r="J29">
        <v>31</v>
      </c>
    </row>
    <row r="30" spans="1:21" x14ac:dyDescent="0.2">
      <c r="G30" t="s">
        <v>45</v>
      </c>
      <c r="H30" t="s">
        <v>49</v>
      </c>
      <c r="I30" t="s">
        <v>48</v>
      </c>
      <c r="J30">
        <v>26</v>
      </c>
    </row>
    <row r="31" spans="1:21" x14ac:dyDescent="0.2">
      <c r="G31">
        <v>1</v>
      </c>
      <c r="H31" t="s">
        <v>50</v>
      </c>
      <c r="I31" t="s">
        <v>48</v>
      </c>
      <c r="J31">
        <v>28</v>
      </c>
    </row>
    <row r="32" spans="1:21" x14ac:dyDescent="0.2">
      <c r="G32">
        <v>2</v>
      </c>
      <c r="H32" t="s">
        <v>51</v>
      </c>
    </row>
    <row r="33" spans="7:20" x14ac:dyDescent="0.2">
      <c r="G33">
        <v>3</v>
      </c>
      <c r="H33" t="s">
        <v>52</v>
      </c>
    </row>
    <row r="34" spans="7:20" x14ac:dyDescent="0.2">
      <c r="G34">
        <v>4</v>
      </c>
      <c r="H34" t="s">
        <v>53</v>
      </c>
    </row>
    <row r="35" spans="7:20" x14ac:dyDescent="0.2">
      <c r="G35">
        <v>5</v>
      </c>
      <c r="H35" t="s">
        <v>54</v>
      </c>
      <c r="I35" s="15" t="s">
        <v>85</v>
      </c>
    </row>
    <row r="36" spans="7:20" x14ac:dyDescent="0.2">
      <c r="G36">
        <v>6</v>
      </c>
      <c r="H36" t="s">
        <v>55</v>
      </c>
    </row>
    <row r="37" spans="7:20" ht="38.25" x14ac:dyDescent="0.2">
      <c r="G37">
        <v>7</v>
      </c>
      <c r="H37" t="s">
        <v>56</v>
      </c>
      <c r="I37" t="s">
        <v>40</v>
      </c>
      <c r="J37" s="12" t="s">
        <v>42</v>
      </c>
    </row>
    <row r="38" spans="7:20" x14ac:dyDescent="0.2">
      <c r="G38">
        <v>8</v>
      </c>
      <c r="H38" t="s">
        <v>57</v>
      </c>
      <c r="I38" t="s">
        <v>27</v>
      </c>
      <c r="J38">
        <v>4</v>
      </c>
      <c r="L38" s="16" t="s">
        <v>13</v>
      </c>
      <c r="M38" s="16"/>
      <c r="N38" s="16"/>
      <c r="O38" s="16"/>
      <c r="Q38" s="16" t="s">
        <v>93</v>
      </c>
    </row>
    <row r="39" spans="7:20" ht="13.5" thickBot="1" x14ac:dyDescent="0.25">
      <c r="G39">
        <v>9</v>
      </c>
      <c r="H39" t="s">
        <v>58</v>
      </c>
      <c r="I39" t="s">
        <v>27</v>
      </c>
      <c r="J39">
        <v>2</v>
      </c>
      <c r="L39" s="16"/>
      <c r="M39" s="16"/>
      <c r="N39" s="16"/>
      <c r="O39" s="16"/>
    </row>
    <row r="40" spans="7:20" x14ac:dyDescent="0.2">
      <c r="I40" t="s">
        <v>27</v>
      </c>
      <c r="J40">
        <v>4</v>
      </c>
      <c r="L40" s="17"/>
      <c r="M40" s="17" t="s">
        <v>14</v>
      </c>
      <c r="N40" s="17" t="s">
        <v>15</v>
      </c>
      <c r="O40" s="16"/>
    </row>
    <row r="41" spans="7:20" x14ac:dyDescent="0.2">
      <c r="I41" t="s">
        <v>27</v>
      </c>
      <c r="J41">
        <v>1</v>
      </c>
      <c r="L41" s="18" t="s">
        <v>16</v>
      </c>
      <c r="M41" s="18">
        <v>3.6923076923076925</v>
      </c>
      <c r="N41" s="18">
        <v>3.0714285714285716</v>
      </c>
      <c r="O41" s="16"/>
      <c r="Q41" s="22" t="s">
        <v>94</v>
      </c>
    </row>
    <row r="42" spans="7:20" x14ac:dyDescent="0.2">
      <c r="I42" t="s">
        <v>27</v>
      </c>
      <c r="J42">
        <v>4</v>
      </c>
      <c r="L42" s="18" t="s">
        <v>17</v>
      </c>
      <c r="M42" s="18">
        <v>0.56410256410256443</v>
      </c>
      <c r="N42" s="18">
        <v>1.9175824175824165</v>
      </c>
      <c r="O42" s="16"/>
    </row>
    <row r="43" spans="7:20" x14ac:dyDescent="0.2">
      <c r="I43" t="s">
        <v>27</v>
      </c>
      <c r="J43">
        <v>4</v>
      </c>
      <c r="L43" s="18" t="s">
        <v>18</v>
      </c>
      <c r="M43" s="18">
        <v>13</v>
      </c>
      <c r="N43" s="18">
        <v>14</v>
      </c>
      <c r="O43" s="16"/>
      <c r="Q43" s="16" t="s">
        <v>95</v>
      </c>
    </row>
    <row r="44" spans="7:20" x14ac:dyDescent="0.2">
      <c r="I44" t="s">
        <v>27</v>
      </c>
      <c r="J44">
        <v>2</v>
      </c>
      <c r="L44" s="18" t="s">
        <v>19</v>
      </c>
      <c r="M44" s="18">
        <v>0</v>
      </c>
      <c r="N44" s="18"/>
      <c r="O44" s="16"/>
    </row>
    <row r="45" spans="7:20" x14ac:dyDescent="0.2">
      <c r="I45" t="s">
        <v>27</v>
      </c>
      <c r="J45">
        <v>4</v>
      </c>
      <c r="L45" s="18" t="s">
        <v>20</v>
      </c>
      <c r="M45" s="18">
        <v>20</v>
      </c>
      <c r="N45" s="18"/>
      <c r="O45" s="16"/>
      <c r="Q45" s="16" t="s">
        <v>96</v>
      </c>
      <c r="R45" s="16"/>
      <c r="S45" s="16"/>
      <c r="T45" s="16">
        <f>12*S8/70</f>
        <v>12.068131868131864</v>
      </c>
    </row>
    <row r="46" spans="7:20" x14ac:dyDescent="0.2">
      <c r="I46" t="s">
        <v>27</v>
      </c>
      <c r="J46">
        <v>4</v>
      </c>
      <c r="L46" s="18" t="s">
        <v>21</v>
      </c>
      <c r="M46" s="18">
        <v>1.4619540355931628</v>
      </c>
      <c r="N46" s="18"/>
      <c r="O46" s="16"/>
      <c r="Q46" s="16"/>
      <c r="R46" s="16"/>
      <c r="S46" s="16"/>
      <c r="T46" s="16"/>
    </row>
    <row r="47" spans="7:20" x14ac:dyDescent="0.2">
      <c r="I47" t="s">
        <v>27</v>
      </c>
      <c r="J47">
        <v>2</v>
      </c>
      <c r="L47" s="18" t="s">
        <v>22</v>
      </c>
      <c r="M47" s="18">
        <v>7.9644903168414272E-2</v>
      </c>
      <c r="N47" s="18"/>
      <c r="O47" s="16"/>
      <c r="Q47" s="16" t="s">
        <v>92</v>
      </c>
      <c r="R47" s="16"/>
      <c r="S47" s="16"/>
      <c r="T47" s="16">
        <f>CHIINV(0.95,12)</f>
        <v>5.2260294883926397</v>
      </c>
    </row>
    <row r="48" spans="7:20" x14ac:dyDescent="0.2">
      <c r="I48" t="s">
        <v>27</v>
      </c>
      <c r="J48">
        <v>4</v>
      </c>
      <c r="L48" s="18" t="s">
        <v>23</v>
      </c>
      <c r="M48" s="18">
        <v>1.724718003970338</v>
      </c>
      <c r="N48" s="18"/>
      <c r="O48" s="16"/>
      <c r="Q48" s="16"/>
      <c r="R48" s="16"/>
      <c r="S48" s="16"/>
      <c r="T48" s="16"/>
    </row>
    <row r="49" spans="9:17" x14ac:dyDescent="0.2">
      <c r="I49" t="s">
        <v>27</v>
      </c>
      <c r="J49">
        <v>0</v>
      </c>
      <c r="L49" s="18" t="s">
        <v>24</v>
      </c>
      <c r="M49" s="18">
        <v>0.15928980633682854</v>
      </c>
      <c r="N49" s="18"/>
      <c r="O49" s="16"/>
    </row>
    <row r="50" spans="9:17" ht="13.5" thickBot="1" x14ac:dyDescent="0.25">
      <c r="I50" t="s">
        <v>27</v>
      </c>
      <c r="J50">
        <v>4</v>
      </c>
      <c r="L50" s="19" t="s">
        <v>25</v>
      </c>
      <c r="M50" s="19">
        <v>2.0859624783042818</v>
      </c>
      <c r="N50" s="19"/>
      <c r="O50" s="16"/>
    </row>
    <row r="51" spans="9:17" x14ac:dyDescent="0.2">
      <c r="I51" t="s">
        <v>27</v>
      </c>
      <c r="J51">
        <v>4</v>
      </c>
      <c r="L51" s="16"/>
      <c r="M51" s="16"/>
      <c r="N51" s="16"/>
      <c r="O51" s="16"/>
    </row>
    <row r="52" spans="9:17" x14ac:dyDescent="0.2">
      <c r="I52" t="s">
        <v>48</v>
      </c>
      <c r="J52">
        <v>4</v>
      </c>
      <c r="L52" s="16" t="s">
        <v>60</v>
      </c>
      <c r="M52" s="16"/>
      <c r="N52" s="16"/>
      <c r="O52" s="16"/>
    </row>
    <row r="53" spans="9:17" x14ac:dyDescent="0.2">
      <c r="I53" t="s">
        <v>48</v>
      </c>
      <c r="J53">
        <v>4</v>
      </c>
    </row>
    <row r="54" spans="9:17" x14ac:dyDescent="0.2">
      <c r="I54" t="s">
        <v>48</v>
      </c>
      <c r="J54">
        <v>4</v>
      </c>
    </row>
    <row r="55" spans="9:17" x14ac:dyDescent="0.2">
      <c r="I55" t="s">
        <v>48</v>
      </c>
      <c r="J55">
        <v>4</v>
      </c>
    </row>
    <row r="56" spans="9:17" x14ac:dyDescent="0.2">
      <c r="I56" t="s">
        <v>48</v>
      </c>
      <c r="J56">
        <v>2</v>
      </c>
    </row>
    <row r="57" spans="9:17" x14ac:dyDescent="0.2">
      <c r="I57" t="s">
        <v>48</v>
      </c>
      <c r="J57">
        <v>4</v>
      </c>
    </row>
    <row r="58" spans="9:17" x14ac:dyDescent="0.2">
      <c r="I58" t="s">
        <v>48</v>
      </c>
      <c r="J58">
        <v>2</v>
      </c>
    </row>
    <row r="59" spans="9:17" x14ac:dyDescent="0.2">
      <c r="I59" t="s">
        <v>48</v>
      </c>
      <c r="J59">
        <v>4</v>
      </c>
    </row>
    <row r="60" spans="9:17" x14ac:dyDescent="0.2">
      <c r="I60" t="s">
        <v>48</v>
      </c>
      <c r="J60">
        <v>4</v>
      </c>
    </row>
    <row r="61" spans="9:17" x14ac:dyDescent="0.2">
      <c r="I61" t="s">
        <v>48</v>
      </c>
      <c r="J61">
        <v>4</v>
      </c>
    </row>
    <row r="62" spans="9:17" x14ac:dyDescent="0.2">
      <c r="I62" t="s">
        <v>48</v>
      </c>
      <c r="J62">
        <v>4</v>
      </c>
    </row>
    <row r="63" spans="9:17" x14ac:dyDescent="0.2">
      <c r="I63" t="s">
        <v>48</v>
      </c>
      <c r="J63">
        <v>4</v>
      </c>
      <c r="Q63" s="16" t="s">
        <v>97</v>
      </c>
    </row>
    <row r="64" spans="9:17" x14ac:dyDescent="0.2">
      <c r="I64" t="s">
        <v>48</v>
      </c>
      <c r="J64">
        <v>4</v>
      </c>
      <c r="Q64" s="16" t="s">
        <v>98</v>
      </c>
    </row>
    <row r="67" spans="8:15" x14ac:dyDescent="0.2">
      <c r="I67" s="15" t="s">
        <v>99</v>
      </c>
    </row>
    <row r="68" spans="8:15" x14ac:dyDescent="0.2">
      <c r="H68" s="16"/>
      <c r="I68" s="16"/>
      <c r="J68" s="16"/>
      <c r="K68" s="16"/>
      <c r="L68" s="16"/>
      <c r="M68" s="16"/>
      <c r="N68" s="16"/>
      <c r="O68" s="16"/>
    </row>
    <row r="69" spans="8:15" x14ac:dyDescent="0.2">
      <c r="H69" s="16"/>
      <c r="I69" s="24" t="s">
        <v>61</v>
      </c>
      <c r="J69" s="24" t="s">
        <v>43</v>
      </c>
      <c r="K69" s="25"/>
      <c r="L69" s="26"/>
      <c r="M69" s="16"/>
      <c r="N69" s="16"/>
      <c r="O69" s="16"/>
    </row>
    <row r="70" spans="8:15" x14ac:dyDescent="0.2">
      <c r="H70" s="16"/>
      <c r="I70" s="24" t="s">
        <v>45</v>
      </c>
      <c r="J70" s="27" t="s">
        <v>46</v>
      </c>
      <c r="K70" s="28" t="s">
        <v>47</v>
      </c>
      <c r="L70" s="29" t="s">
        <v>11</v>
      </c>
      <c r="M70" s="16"/>
      <c r="N70" s="16"/>
      <c r="O70" s="16"/>
    </row>
    <row r="71" spans="8:15" x14ac:dyDescent="0.2">
      <c r="H71" s="16"/>
      <c r="I71" s="27">
        <v>1</v>
      </c>
      <c r="J71" s="30">
        <v>1</v>
      </c>
      <c r="K71" s="31"/>
      <c r="L71" s="32">
        <v>1</v>
      </c>
      <c r="M71" s="16"/>
      <c r="N71" s="16">
        <f>GETPIVOTDATA("Employee",$I$69,"Age Group",1)/27</f>
        <v>3.7037037037037035E-2</v>
      </c>
      <c r="O71" s="16"/>
    </row>
    <row r="72" spans="8:15" x14ac:dyDescent="0.2">
      <c r="H72" s="16"/>
      <c r="I72" s="33">
        <v>2</v>
      </c>
      <c r="J72" s="34">
        <v>4</v>
      </c>
      <c r="K72" s="35">
        <v>2</v>
      </c>
      <c r="L72" s="36">
        <v>6</v>
      </c>
      <c r="M72" s="16"/>
      <c r="N72" s="16">
        <f>6/27</f>
        <v>0.22222222222222221</v>
      </c>
      <c r="O72" s="16"/>
    </row>
    <row r="73" spans="8:15" x14ac:dyDescent="0.2">
      <c r="H73" s="16"/>
      <c r="I73" s="33">
        <v>3</v>
      </c>
      <c r="J73" s="34">
        <v>2</v>
      </c>
      <c r="K73" s="35">
        <v>3</v>
      </c>
      <c r="L73" s="36">
        <v>5</v>
      </c>
      <c r="M73" s="16"/>
      <c r="N73" s="16">
        <f>GETPIVOTDATA("Employee",$I$69,"Age Group",3)/27</f>
        <v>0.18518518518518517</v>
      </c>
      <c r="O73" s="16"/>
    </row>
    <row r="74" spans="8:15" x14ac:dyDescent="0.2">
      <c r="H74" s="16"/>
      <c r="I74" s="33">
        <v>4</v>
      </c>
      <c r="J74" s="34">
        <v>1</v>
      </c>
      <c r="K74" s="35">
        <v>3</v>
      </c>
      <c r="L74" s="36">
        <v>4</v>
      </c>
      <c r="M74" s="16"/>
      <c r="N74" s="16">
        <f>GETPIVOTDATA("Employee",$I$69,"Age Group",4)/27</f>
        <v>0.14814814814814814</v>
      </c>
      <c r="O74" s="16"/>
    </row>
    <row r="75" spans="8:15" x14ac:dyDescent="0.2">
      <c r="H75" s="16"/>
      <c r="I75" s="33">
        <v>5</v>
      </c>
      <c r="J75" s="34">
        <v>2</v>
      </c>
      <c r="K75" s="35"/>
      <c r="L75" s="36">
        <v>2</v>
      </c>
      <c r="M75" s="16"/>
      <c r="N75" s="16">
        <f>GETPIVOTDATA("Employee",$I$69,"Age Group",5)/27</f>
        <v>7.407407407407407E-2</v>
      </c>
      <c r="O75" s="16"/>
    </row>
    <row r="76" spans="8:15" x14ac:dyDescent="0.2">
      <c r="H76" s="16"/>
      <c r="I76" s="33">
        <v>6</v>
      </c>
      <c r="J76" s="34">
        <v>2</v>
      </c>
      <c r="K76" s="35">
        <v>1</v>
      </c>
      <c r="L76" s="36">
        <v>3</v>
      </c>
      <c r="M76" s="16"/>
      <c r="N76" s="16">
        <f>GETPIVOTDATA("Employee",$I$69,"Age Group",6)/27</f>
        <v>0.1111111111111111</v>
      </c>
      <c r="O76" s="16"/>
    </row>
    <row r="77" spans="8:15" x14ac:dyDescent="0.2">
      <c r="H77" s="16"/>
      <c r="I77" s="33">
        <v>7</v>
      </c>
      <c r="J77" s="34">
        <v>5</v>
      </c>
      <c r="K77" s="35">
        <v>1</v>
      </c>
      <c r="L77" s="36">
        <v>6</v>
      </c>
      <c r="M77" s="16"/>
      <c r="N77" s="16">
        <f>GETPIVOTDATA("Employee",$I$69,"Age Group",7)/27</f>
        <v>0.22222222222222221</v>
      </c>
      <c r="O77" s="16"/>
    </row>
    <row r="78" spans="8:15" x14ac:dyDescent="0.2">
      <c r="H78" s="16"/>
      <c r="I78" s="37" t="s">
        <v>11</v>
      </c>
      <c r="J78" s="38">
        <v>17</v>
      </c>
      <c r="K78" s="39">
        <v>10</v>
      </c>
      <c r="L78" s="40">
        <v>27</v>
      </c>
      <c r="M78" s="16"/>
      <c r="N78" s="16"/>
      <c r="O78" s="16"/>
    </row>
    <row r="79" spans="8:15" x14ac:dyDescent="0.2">
      <c r="H79" s="16"/>
      <c r="I79" s="16"/>
      <c r="J79" s="16"/>
      <c r="K79" s="16"/>
      <c r="L79" s="16"/>
      <c r="M79" s="16"/>
      <c r="N79" s="16"/>
      <c r="O79" s="16"/>
    </row>
    <row r="80" spans="8:15" x14ac:dyDescent="0.2">
      <c r="H80" s="16"/>
      <c r="I80" s="16"/>
      <c r="J80" s="16">
        <f>GETPIVOTDATA("Employee",$I$69,"Graduate Degree?","N")/27</f>
        <v>0.62962962962962965</v>
      </c>
      <c r="K80" s="16">
        <f>GETPIVOTDATA("Employee",$I$69,"Graduate Degree?","Y")/27</f>
        <v>0.37037037037037035</v>
      </c>
      <c r="L80" s="16"/>
      <c r="M80" s="16"/>
      <c r="N80" s="16"/>
      <c r="O80" s="16"/>
    </row>
    <row r="81" spans="8:15" x14ac:dyDescent="0.2">
      <c r="H81" s="16"/>
      <c r="I81" s="16"/>
      <c r="J81" s="16"/>
      <c r="K81" s="16"/>
      <c r="L81" s="16"/>
      <c r="M81" s="16"/>
      <c r="N81" s="16"/>
      <c r="O81" s="16"/>
    </row>
    <row r="82" spans="8:15" x14ac:dyDescent="0.2">
      <c r="H82" s="16"/>
      <c r="I82" s="16" t="s">
        <v>62</v>
      </c>
      <c r="J82" s="16"/>
      <c r="K82" s="16"/>
      <c r="L82" s="16"/>
      <c r="M82" s="16"/>
      <c r="N82" s="16"/>
      <c r="O82" s="16"/>
    </row>
    <row r="83" spans="8:15" x14ac:dyDescent="0.2">
      <c r="H83" s="16"/>
      <c r="I83" s="16"/>
      <c r="J83" s="16">
        <f t="shared" ref="J83:K89" si="0">J$80*$N71*27</f>
        <v>0.62962962962962965</v>
      </c>
      <c r="K83" s="16">
        <f t="shared" si="0"/>
        <v>0.37037037037037029</v>
      </c>
      <c r="L83" s="16"/>
      <c r="M83" s="16"/>
      <c r="N83" s="16"/>
      <c r="O83" s="16"/>
    </row>
    <row r="84" spans="8:15" x14ac:dyDescent="0.2">
      <c r="H84" s="16"/>
      <c r="I84" s="16"/>
      <c r="J84" s="16">
        <f t="shared" si="0"/>
        <v>3.7777777777777777</v>
      </c>
      <c r="K84" s="16">
        <f t="shared" si="0"/>
        <v>2.2222222222222219</v>
      </c>
      <c r="L84" s="16"/>
      <c r="M84" s="16"/>
      <c r="N84" s="16"/>
      <c r="O84" s="16"/>
    </row>
    <row r="85" spans="8:15" x14ac:dyDescent="0.2">
      <c r="H85" s="16"/>
      <c r="I85" s="16"/>
      <c r="J85" s="16">
        <f t="shared" si="0"/>
        <v>3.1481481481481484</v>
      </c>
      <c r="K85" s="16">
        <f t="shared" si="0"/>
        <v>1.8518518518518516</v>
      </c>
      <c r="L85" s="16"/>
      <c r="M85" s="16"/>
      <c r="N85" s="16"/>
      <c r="O85" s="16"/>
    </row>
    <row r="86" spans="8:15" x14ac:dyDescent="0.2">
      <c r="H86" s="16"/>
      <c r="I86" s="16"/>
      <c r="J86" s="16">
        <f t="shared" si="0"/>
        <v>2.5185185185185186</v>
      </c>
      <c r="K86" s="16">
        <f t="shared" si="0"/>
        <v>1.4814814814814812</v>
      </c>
      <c r="L86" s="16"/>
      <c r="M86" s="16"/>
      <c r="N86" s="16"/>
      <c r="O86" s="16"/>
    </row>
    <row r="87" spans="8:15" x14ac:dyDescent="0.2">
      <c r="H87" s="16"/>
      <c r="I87" s="16"/>
      <c r="J87" s="16">
        <f t="shared" si="0"/>
        <v>1.2592592592592593</v>
      </c>
      <c r="K87" s="16">
        <f t="shared" si="0"/>
        <v>0.74074074074074059</v>
      </c>
      <c r="L87" s="16"/>
      <c r="M87" s="16"/>
      <c r="N87" s="16"/>
      <c r="O87" s="16"/>
    </row>
    <row r="88" spans="8:15" x14ac:dyDescent="0.2">
      <c r="H88" s="16"/>
      <c r="I88" s="16"/>
      <c r="J88" s="16">
        <f t="shared" si="0"/>
        <v>1.8888888888888888</v>
      </c>
      <c r="K88" s="16">
        <f t="shared" si="0"/>
        <v>1.1111111111111109</v>
      </c>
      <c r="L88" s="16"/>
      <c r="M88" s="16"/>
      <c r="N88" s="16"/>
      <c r="O88" s="16"/>
    </row>
    <row r="89" spans="8:15" x14ac:dyDescent="0.2">
      <c r="H89" s="16"/>
      <c r="I89" s="16"/>
      <c r="J89" s="16">
        <f t="shared" si="0"/>
        <v>3.7777777777777777</v>
      </c>
      <c r="K89" s="16">
        <f t="shared" si="0"/>
        <v>2.2222222222222219</v>
      </c>
      <c r="L89" s="16"/>
      <c r="M89" s="16"/>
      <c r="N89" s="16"/>
      <c r="O89" s="16"/>
    </row>
    <row r="90" spans="8:15" x14ac:dyDescent="0.2">
      <c r="H90" s="16"/>
      <c r="I90" s="16"/>
      <c r="J90" s="16"/>
      <c r="K90" s="16"/>
      <c r="L90" s="16"/>
      <c r="M90" s="16"/>
      <c r="N90" s="16"/>
      <c r="O90" s="16"/>
    </row>
    <row r="91" spans="8:15" x14ac:dyDescent="0.2">
      <c r="H91" s="16"/>
      <c r="I91" s="16"/>
      <c r="J91" s="16"/>
      <c r="K91" s="16"/>
      <c r="L91" s="16"/>
      <c r="M91" s="16"/>
      <c r="N91" s="16"/>
      <c r="O91" s="16"/>
    </row>
    <row r="92" spans="8:15" x14ac:dyDescent="0.2">
      <c r="H92" s="16"/>
      <c r="I92" s="16" t="s">
        <v>63</v>
      </c>
      <c r="J92" s="16">
        <f>CHITEST(J71:K77,J83:K89)</f>
        <v>0.4964666407061763</v>
      </c>
      <c r="K92" s="16"/>
      <c r="L92" s="16"/>
      <c r="M92" s="16"/>
      <c r="N92" s="16"/>
      <c r="O92" s="16"/>
    </row>
    <row r="93" spans="8:15" x14ac:dyDescent="0.2">
      <c r="H93" s="16"/>
      <c r="I93" s="16"/>
      <c r="J93" s="16"/>
      <c r="K93" s="16"/>
      <c r="L93" s="16"/>
      <c r="M93" s="16"/>
      <c r="N93" s="16"/>
      <c r="O93" s="16"/>
    </row>
    <row r="94" spans="8:15" x14ac:dyDescent="0.2">
      <c r="H94" s="16"/>
      <c r="I94" s="16" t="s">
        <v>64</v>
      </c>
      <c r="J94" s="16"/>
      <c r="K94" s="16"/>
      <c r="L94" s="16"/>
      <c r="M94" s="16"/>
      <c r="N94" s="16"/>
      <c r="O94" s="16"/>
    </row>
    <row r="97" spans="8:14" x14ac:dyDescent="0.2">
      <c r="I97" s="15" t="s">
        <v>100</v>
      </c>
    </row>
    <row r="98" spans="8:14" x14ac:dyDescent="0.2">
      <c r="H98" s="16"/>
      <c r="I98" s="16"/>
      <c r="J98" s="16"/>
      <c r="K98" s="16"/>
      <c r="L98" s="16"/>
      <c r="M98" s="16"/>
      <c r="N98" s="16"/>
    </row>
    <row r="99" spans="8:14" x14ac:dyDescent="0.2">
      <c r="H99" s="16"/>
      <c r="I99" s="24" t="s">
        <v>101</v>
      </c>
      <c r="J99" s="24" t="s">
        <v>40</v>
      </c>
      <c r="K99" s="25"/>
      <c r="L99" s="26"/>
      <c r="M99" s="16"/>
      <c r="N99" s="16"/>
    </row>
    <row r="100" spans="8:14" x14ac:dyDescent="0.2">
      <c r="H100" s="16"/>
      <c r="I100" s="24" t="s">
        <v>41</v>
      </c>
      <c r="J100" s="27" t="s">
        <v>27</v>
      </c>
      <c r="K100" s="28" t="s">
        <v>48</v>
      </c>
      <c r="L100" s="29" t="s">
        <v>11</v>
      </c>
      <c r="M100" s="16"/>
      <c r="N100" s="16"/>
    </row>
    <row r="101" spans="8:14" x14ac:dyDescent="0.2">
      <c r="H101" s="16"/>
      <c r="I101" s="27" t="s">
        <v>103</v>
      </c>
      <c r="J101" s="30">
        <v>12</v>
      </c>
      <c r="K101" s="31">
        <v>3</v>
      </c>
      <c r="L101" s="32">
        <v>15</v>
      </c>
      <c r="M101" s="16">
        <f>15/27</f>
        <v>0.55555555555555558</v>
      </c>
      <c r="N101" s="16"/>
    </row>
    <row r="102" spans="8:14" x14ac:dyDescent="0.2">
      <c r="H102" s="16"/>
      <c r="I102" s="33" t="s">
        <v>104</v>
      </c>
      <c r="J102" s="34">
        <v>2</v>
      </c>
      <c r="K102" s="35">
        <v>10</v>
      </c>
      <c r="L102" s="36">
        <v>12</v>
      </c>
      <c r="M102" s="16">
        <f>12/27</f>
        <v>0.44444444444444442</v>
      </c>
      <c r="N102" s="16"/>
    </row>
    <row r="103" spans="8:14" x14ac:dyDescent="0.2">
      <c r="H103" s="16"/>
      <c r="I103" s="37" t="s">
        <v>11</v>
      </c>
      <c r="J103" s="38">
        <v>14</v>
      </c>
      <c r="K103" s="39">
        <v>13</v>
      </c>
      <c r="L103" s="40">
        <v>27</v>
      </c>
      <c r="M103" s="16"/>
      <c r="N103" s="16"/>
    </row>
    <row r="104" spans="8:14" x14ac:dyDescent="0.2">
      <c r="H104" s="16"/>
      <c r="M104" s="16"/>
      <c r="N104" s="16"/>
    </row>
    <row r="105" spans="8:14" x14ac:dyDescent="0.2">
      <c r="H105" s="16"/>
      <c r="I105" s="16"/>
      <c r="J105" s="16"/>
      <c r="K105" s="16"/>
      <c r="L105" s="16"/>
      <c r="M105" s="16"/>
      <c r="N105" s="16"/>
    </row>
    <row r="106" spans="8:14" x14ac:dyDescent="0.2">
      <c r="H106" s="16"/>
      <c r="I106" s="16"/>
      <c r="J106" s="16">
        <f>14/27</f>
        <v>0.51851851851851849</v>
      </c>
      <c r="K106" s="16">
        <f>13/27</f>
        <v>0.48148148148148145</v>
      </c>
      <c r="L106" s="16"/>
      <c r="M106" s="16"/>
      <c r="N106" s="16"/>
    </row>
    <row r="107" spans="8:14" x14ac:dyDescent="0.2">
      <c r="H107" s="16"/>
      <c r="I107" s="16"/>
      <c r="J107" s="16"/>
      <c r="K107" s="16"/>
      <c r="L107" s="16"/>
      <c r="M107" s="16"/>
      <c r="N107" s="16"/>
    </row>
    <row r="108" spans="8:14" x14ac:dyDescent="0.2">
      <c r="H108" s="16"/>
      <c r="I108" s="16" t="s">
        <v>102</v>
      </c>
      <c r="J108" s="16"/>
      <c r="K108" s="16"/>
      <c r="L108" s="16"/>
      <c r="M108" s="16"/>
      <c r="N108" s="16"/>
    </row>
    <row r="109" spans="8:14" x14ac:dyDescent="0.2">
      <c r="H109" s="16"/>
      <c r="I109" s="16"/>
      <c r="J109" s="16">
        <f>J$106*$M101 *27</f>
        <v>7.7777777777777786</v>
      </c>
      <c r="K109" s="16">
        <f>K$106*$M101 *27</f>
        <v>7.2222222222222223</v>
      </c>
      <c r="L109" s="16"/>
      <c r="M109" s="16"/>
      <c r="N109" s="16"/>
    </row>
    <row r="110" spans="8:14" x14ac:dyDescent="0.2">
      <c r="H110" s="16"/>
      <c r="I110" s="16"/>
      <c r="J110" s="16">
        <f>J$106*$M102 *27</f>
        <v>6.2222222222222214</v>
      </c>
      <c r="K110" s="16">
        <f>K$106*$M102 *27</f>
        <v>5.7777777777777768</v>
      </c>
      <c r="L110" s="16"/>
      <c r="M110" s="16"/>
      <c r="N110" s="16"/>
    </row>
    <row r="111" spans="8:14" x14ac:dyDescent="0.2">
      <c r="H111" s="16"/>
      <c r="I111" s="16"/>
      <c r="J111" s="16"/>
      <c r="K111" s="16"/>
      <c r="L111" s="16"/>
      <c r="M111" s="16"/>
      <c r="N111" s="16"/>
    </row>
    <row r="112" spans="8:14" x14ac:dyDescent="0.2">
      <c r="H112" s="16"/>
      <c r="I112" s="16"/>
      <c r="J112" s="16"/>
      <c r="K112" s="16"/>
      <c r="L112" s="16"/>
      <c r="M112" s="16"/>
      <c r="N112" s="16"/>
    </row>
    <row r="113" spans="8:14" x14ac:dyDescent="0.2">
      <c r="H113" s="16"/>
      <c r="I113" s="16"/>
      <c r="L113" s="16"/>
      <c r="M113" s="16"/>
      <c r="N113" s="16"/>
    </row>
    <row r="114" spans="8:14" x14ac:dyDescent="0.2">
      <c r="H114" s="16"/>
      <c r="I114" s="16"/>
      <c r="L114" s="16"/>
      <c r="M114" s="16"/>
      <c r="N114" s="16"/>
    </row>
    <row r="115" spans="8:14" x14ac:dyDescent="0.2">
      <c r="H115" s="16"/>
      <c r="I115" s="16"/>
      <c r="J115" s="16"/>
      <c r="K115" s="16"/>
      <c r="L115" s="16"/>
      <c r="M115" s="16"/>
      <c r="N115" s="16"/>
    </row>
    <row r="116" spans="8:14" x14ac:dyDescent="0.2">
      <c r="H116" s="16"/>
      <c r="I116" s="16"/>
      <c r="J116" s="16"/>
      <c r="K116" s="16"/>
      <c r="L116" s="16"/>
      <c r="M116" s="16"/>
      <c r="N116" s="16"/>
    </row>
    <row r="117" spans="8:14" x14ac:dyDescent="0.2">
      <c r="H117" s="16"/>
      <c r="I117" s="16" t="s">
        <v>63</v>
      </c>
      <c r="J117" s="16">
        <f>CHITEST(J101:K102,J109:K110)</f>
        <v>1.0650108464634394E-3</v>
      </c>
      <c r="K117" s="16"/>
      <c r="L117" s="16"/>
      <c r="M117" s="16"/>
      <c r="N117" s="16"/>
    </row>
    <row r="118" spans="8:14" x14ac:dyDescent="0.2">
      <c r="H118" s="16"/>
      <c r="I118" s="16"/>
      <c r="J118" s="16"/>
      <c r="K118" s="16"/>
      <c r="L118" s="16"/>
      <c r="M118" s="16"/>
      <c r="N118" s="16"/>
    </row>
    <row r="119" spans="8:14" x14ac:dyDescent="0.2">
      <c r="H119" s="16"/>
      <c r="I119" s="16" t="s">
        <v>105</v>
      </c>
      <c r="J119" s="16"/>
      <c r="K119" s="16"/>
      <c r="L119" s="16"/>
      <c r="M119" s="16"/>
      <c r="N119" s="16"/>
    </row>
    <row r="120" spans="8:14" x14ac:dyDescent="0.2">
      <c r="H120" s="16"/>
      <c r="I120" s="16"/>
      <c r="J120" s="16"/>
      <c r="K120" s="16"/>
      <c r="L120" s="16"/>
      <c r="M120" s="16"/>
      <c r="N120" s="16"/>
    </row>
  </sheetData>
  <phoneticPr fontId="2" type="noConversion"/>
  <pageMargins left="0.75" right="0.75" top="1" bottom="1" header="0.5" footer="0.5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Problems 3 - 8</vt:lpstr>
    </vt:vector>
  </TitlesOfParts>
  <Company>Tippie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 Technology Services Group</dc:creator>
  <cp:lastModifiedBy>jones</cp:lastModifiedBy>
  <dcterms:created xsi:type="dcterms:W3CDTF">2003-09-26T19:01:45Z</dcterms:created>
  <dcterms:modified xsi:type="dcterms:W3CDTF">2015-10-17T23:22:36Z</dcterms:modified>
</cp:coreProperties>
</file>