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ython DataSet" sheetId="1" r:id="rId4"/>
    <sheet state="hidden" name="Demo" sheetId="2" r:id="rId5"/>
    <sheet state="visible" name="First Split Height" sheetId="3" r:id="rId6"/>
    <sheet state="visible" name="First Split Weight" sheetId="4" r:id="rId7"/>
    <sheet state="visible" name="Second Split Left Child Height" sheetId="5" r:id="rId8"/>
    <sheet state="visible" name="Second Split Left Child Weight" sheetId="6" r:id="rId9"/>
    <sheet state="visible" name="Second Split Right Child Height" sheetId="7" r:id="rId10"/>
    <sheet state="visible" name="Second Split Right Child Weight" sheetId="8" r:id="rId11"/>
    <sheet state="hidden" name="GiniIndex" sheetId="9" r:id="rId12"/>
    <sheet state="hidden" name="Misclassification Error" sheetId="10" r:id="rId13"/>
  </sheets>
  <definedNames/>
  <calcPr/>
</workbook>
</file>

<file path=xl/sharedStrings.xml><?xml version="1.0" encoding="utf-8"?>
<sst xmlns="http://schemas.openxmlformats.org/spreadsheetml/2006/main" count="643" uniqueCount="75">
  <si>
    <t>gen_ave</t>
  </si>
  <si>
    <t>ACET_score</t>
  </si>
  <si>
    <t>extra_score</t>
  </si>
  <si>
    <t>recomm_score</t>
  </si>
  <si>
    <t>essay_score</t>
  </si>
  <si>
    <t>first_gen</t>
  </si>
  <si>
    <t>num_awards</t>
  </si>
  <si>
    <t>leadership</t>
  </si>
  <si>
    <t>children</t>
  </si>
  <si>
    <t>family_income</t>
  </si>
  <si>
    <t>probability</t>
  </si>
  <si>
    <t>Height (cm)</t>
  </si>
  <si>
    <t>Weight (kg)</t>
  </si>
  <si>
    <t>Speed (m/s)</t>
  </si>
  <si>
    <t>Parent</t>
  </si>
  <si>
    <t>Height&lt;=170</t>
  </si>
  <si>
    <t>Mean Speed</t>
  </si>
  <si>
    <t>Num Points</t>
  </si>
  <si>
    <t>Variance</t>
  </si>
  <si>
    <t>Yes</t>
  </si>
  <si>
    <t>No</t>
  </si>
  <si>
    <t>Variance Reduction</t>
  </si>
  <si>
    <t>Weight&lt;=60</t>
  </si>
  <si>
    <t>Sum</t>
  </si>
  <si>
    <t>&lt;----Maximum Reduction</t>
  </si>
  <si>
    <t>Parent (Weight &lt;= 60)</t>
  </si>
  <si>
    <t>Height&lt;=167</t>
  </si>
  <si>
    <t>Weight&lt;=57</t>
  </si>
  <si>
    <t>Parent (Weight &gt; 60)</t>
  </si>
  <si>
    <t>Height&lt;=172</t>
  </si>
  <si>
    <t>Weight&lt;=63</t>
  </si>
  <si>
    <t>Height &lt;=</t>
  </si>
  <si>
    <t>Total Variance</t>
  </si>
  <si>
    <t>Weight &lt;=</t>
  </si>
  <si>
    <t>Filtered Dataset</t>
  </si>
  <si>
    <t>Weight &gt;</t>
  </si>
  <si>
    <t xml:space="preserve">Height </t>
  </si>
  <si>
    <t>Weight</t>
  </si>
  <si>
    <t>Label</t>
  </si>
  <si>
    <t>Alt</t>
  </si>
  <si>
    <t>Gini Index</t>
  </si>
  <si>
    <t>Alt-Gini Index</t>
  </si>
  <si>
    <t>Hun</t>
  </si>
  <si>
    <t>Hun-Gini Index</t>
  </si>
  <si>
    <t>Pat</t>
  </si>
  <si>
    <t>None</t>
  </si>
  <si>
    <t>Some</t>
  </si>
  <si>
    <t>Full</t>
  </si>
  <si>
    <t>Pat-Gini Index</t>
  </si>
  <si>
    <t>&lt;---- Minimum</t>
  </si>
  <si>
    <t>Pat = Full</t>
  </si>
  <si>
    <t>Bar</t>
  </si>
  <si>
    <t>Fri</t>
  </si>
  <si>
    <t>Price</t>
  </si>
  <si>
    <t>Rain</t>
  </si>
  <si>
    <t>Res</t>
  </si>
  <si>
    <t>Type</t>
  </si>
  <si>
    <t>Est</t>
  </si>
  <si>
    <t>Low</t>
  </si>
  <si>
    <t>Thai</t>
  </si>
  <si>
    <t>30 to 60</t>
  </si>
  <si>
    <t>10 to 30</t>
  </si>
  <si>
    <t>High</t>
  </si>
  <si>
    <t>French</t>
  </si>
  <si>
    <t>1hr</t>
  </si>
  <si>
    <t>Burger</t>
  </si>
  <si>
    <t>Italian</t>
  </si>
  <si>
    <t>Misclassification Error</t>
  </si>
  <si>
    <t>0 to 10</t>
  </si>
  <si>
    <t>Alt-ME Gain</t>
  </si>
  <si>
    <t>Med</t>
  </si>
  <si>
    <t>Hun-ME Gain</t>
  </si>
  <si>
    <t>Pat-ME Gain</t>
  </si>
  <si>
    <t>&lt;----Maximum Information Gain</t>
  </si>
  <si>
    <t>&lt;----No Information Gain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</si>
</sst>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"/>
  </numFmts>
  <fonts count="5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2" numFmtId="3" xfId="0" applyAlignment="1" applyBorder="1" applyFont="1" applyNumberFormat="1">
      <alignment readingOrder="0"/>
    </xf>
    <xf borderId="1" fillId="0" fontId="2" numFmtId="0" xfId="0" applyBorder="1" applyFont="1"/>
    <xf borderId="0" fillId="0" fontId="4" numFmtId="0" xfId="0" applyAlignment="1" applyFont="1">
      <alignment horizontal="center" readingOrder="0"/>
    </xf>
    <xf borderId="0" fillId="0" fontId="3" numFmtId="3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left"/>
    </xf>
    <xf borderId="0" fillId="0" fontId="2" numFmtId="2" xfId="0" applyAlignment="1" applyFont="1" applyNumberFormat="1">
      <alignment readingOrder="0"/>
    </xf>
    <xf borderId="0" fillId="0" fontId="3" numFmtId="2" xfId="0" applyFont="1" applyNumberFormat="1"/>
    <xf borderId="0" fillId="0" fontId="3" numFmtId="164" xfId="0" applyFont="1" applyNumberFormat="1"/>
    <xf borderId="2" fillId="2" fontId="2" numFmtId="164" xfId="0" applyBorder="1" applyFill="1" applyFont="1" applyNumberFormat="1"/>
    <xf borderId="3" fillId="2" fontId="2" numFmtId="164" xfId="0" applyBorder="1" applyFont="1" applyNumberFormat="1"/>
    <xf borderId="4" fillId="0" fontId="3" numFmtId="0" xfId="0" applyAlignment="1" applyBorder="1" applyFont="1">
      <alignment readingOrder="0"/>
    </xf>
    <xf borderId="4" fillId="0" fontId="3" numFmtId="0" xfId="0" applyBorder="1" applyFont="1"/>
    <xf borderId="4" fillId="0" fontId="3" numFmtId="164" xfId="0" applyBorder="1" applyFont="1" applyNumberFormat="1"/>
    <xf borderId="0" fillId="0" fontId="3" numFmtId="164" xfId="0" applyAlignment="1" applyFont="1" applyNumberFormat="1">
      <alignment horizontal="left"/>
    </xf>
    <xf borderId="0" fillId="0" fontId="3" numFmtId="0" xfId="0" applyFont="1"/>
    <xf borderId="2" fillId="3" fontId="2" numFmtId="164" xfId="0" applyBorder="1" applyFill="1" applyFont="1" applyNumberFormat="1"/>
    <xf borderId="0" fillId="4" fontId="3" numFmtId="0" xfId="0" applyAlignment="1" applyFill="1" applyFont="1">
      <alignment readingOrder="0"/>
    </xf>
    <xf borderId="0" fillId="4" fontId="3" numFmtId="0" xfId="0" applyFont="1"/>
    <xf borderId="5" fillId="0" fontId="2" numFmtId="0" xfId="0" applyAlignment="1" applyBorder="1" applyFont="1">
      <alignment readingOrder="0"/>
    </xf>
    <xf borderId="5" fillId="0" fontId="2" numFmtId="0" xfId="0" applyBorder="1" applyFont="1"/>
    <xf borderId="4" fillId="0" fontId="2" numFmtId="0" xfId="0" applyAlignment="1" applyBorder="1" applyFont="1">
      <alignment readingOrder="0"/>
    </xf>
    <xf borderId="4" fillId="0" fontId="2" numFmtId="0" xfId="0" applyBorder="1" applyFont="1"/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3" fillId="3" fontId="2" numFmtId="164" xfId="0" applyBorder="1" applyFont="1" applyNumberFormat="1"/>
    <xf borderId="0" fillId="0" fontId="4" numFmtId="0" xfId="0" applyAlignment="1" applyFont="1">
      <alignment readingOrder="0"/>
    </xf>
    <xf borderId="1" fillId="0" fontId="3" numFmtId="0" xfId="0" applyBorder="1" applyFont="1"/>
    <xf borderId="2" fillId="0" fontId="2" numFmtId="164" xfId="0" applyBorder="1" applyFont="1" applyNumberFormat="1"/>
    <xf borderId="0" fillId="0" fontId="2" numFmtId="2" xfId="0" applyFont="1" applyNumberFormat="1"/>
    <xf borderId="2" fillId="2" fontId="2" numFmtId="2" xfId="0" applyBorder="1" applyFont="1" applyNumberFormat="1"/>
    <xf borderId="1" fillId="0" fontId="2" numFmtId="16" xfId="0" applyBorder="1" applyFont="1" applyNumberFormat="1"/>
    <xf borderId="0" fillId="0" fontId="1" numFmtId="0" xfId="0" applyFont="1"/>
    <xf quotePrefix="1" borderId="1" fillId="0" fontId="2" numFmtId="0" xfId="0" applyBorder="1" applyFont="1"/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78"/>
    <col customWidth="1" min="2" max="2" width="9.67"/>
    <col customWidth="1" min="3" max="3" width="9.56"/>
    <col customWidth="1" min="4" max="4" width="11.89"/>
    <col customWidth="1" min="5" max="5" width="9.22"/>
    <col customWidth="1" min="6" max="6" width="8.0"/>
    <col customWidth="1" min="7" max="7" width="11.44"/>
    <col customWidth="1" min="8" max="8" width="13.67"/>
    <col customWidth="1" min="9" max="9" width="21.22"/>
    <col customWidth="1" min="10" max="10" width="17.44"/>
    <col customWidth="1" min="11" max="11" width="19.0"/>
    <col customWidth="1" min="12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>
        <v>96.25</v>
      </c>
      <c r="B2" s="2">
        <v>1450.0</v>
      </c>
      <c r="C2" s="2">
        <v>8.0</v>
      </c>
      <c r="D2" s="3">
        <v>4.0</v>
      </c>
      <c r="E2" s="2">
        <v>5.0</v>
      </c>
      <c r="F2" s="2">
        <v>1.0</v>
      </c>
      <c r="G2" s="2">
        <v>2.0</v>
      </c>
      <c r="H2" s="2">
        <v>1.0</v>
      </c>
      <c r="I2" s="3">
        <v>2.0</v>
      </c>
      <c r="J2" s="4">
        <v>50000.0</v>
      </c>
      <c r="K2" s="3">
        <v>0.92</v>
      </c>
    </row>
    <row r="3" ht="15.75" customHeight="1">
      <c r="A3" s="2">
        <v>80.0</v>
      </c>
      <c r="B3" s="2">
        <v>1200.0</v>
      </c>
      <c r="C3" s="2">
        <v>5.0</v>
      </c>
      <c r="D3" s="3">
        <v>3.0</v>
      </c>
      <c r="E3" s="2">
        <v>3.0</v>
      </c>
      <c r="F3" s="2">
        <v>0.0</v>
      </c>
      <c r="G3" s="2">
        <v>0.0</v>
      </c>
      <c r="H3" s="2">
        <v>0.0</v>
      </c>
      <c r="I3" s="3">
        <v>1.0</v>
      </c>
      <c r="J3" s="4">
        <v>85000.0</v>
      </c>
      <c r="K3" s="3">
        <v>0.4</v>
      </c>
    </row>
    <row r="4" ht="15.75" customHeight="1">
      <c r="A4" s="2">
        <v>97.5</v>
      </c>
      <c r="B4" s="2">
        <v>1500.0</v>
      </c>
      <c r="C4" s="2">
        <v>9.0</v>
      </c>
      <c r="D4" s="3">
        <v>5.0</v>
      </c>
      <c r="E4" s="2">
        <v>5.0</v>
      </c>
      <c r="F4" s="2">
        <v>1.0</v>
      </c>
      <c r="G4" s="2">
        <v>3.0</v>
      </c>
      <c r="H4" s="2">
        <v>1.0</v>
      </c>
      <c r="I4" s="3">
        <v>3.0</v>
      </c>
      <c r="J4" s="4">
        <v>42000.0</v>
      </c>
      <c r="K4" s="3">
        <v>0.95</v>
      </c>
    </row>
    <row r="5" ht="15.75" customHeight="1">
      <c r="A5" s="2">
        <v>90.0</v>
      </c>
      <c r="B5" s="2">
        <v>1300.0</v>
      </c>
      <c r="C5" s="2">
        <v>7.0</v>
      </c>
      <c r="D5" s="3">
        <v>4.0</v>
      </c>
      <c r="E5" s="2">
        <v>4.0</v>
      </c>
      <c r="F5" s="2">
        <v>0.0</v>
      </c>
      <c r="G5" s="2">
        <v>1.0</v>
      </c>
      <c r="H5" s="2">
        <v>1.0</v>
      </c>
      <c r="I5" s="3">
        <v>2.0</v>
      </c>
      <c r="J5" s="4">
        <v>100000.0</v>
      </c>
      <c r="K5" s="3">
        <v>0.75</v>
      </c>
    </row>
    <row r="6" ht="15.75" customHeight="1">
      <c r="A6" s="2">
        <v>72.5</v>
      </c>
      <c r="B6" s="2">
        <v>1100.0</v>
      </c>
      <c r="C6" s="2">
        <v>4.0</v>
      </c>
      <c r="D6" s="3">
        <v>3.0</v>
      </c>
      <c r="E6" s="2">
        <v>2.0</v>
      </c>
      <c r="F6" s="2">
        <v>1.0</v>
      </c>
      <c r="G6" s="2">
        <v>0.0</v>
      </c>
      <c r="H6" s="2">
        <v>0.0</v>
      </c>
      <c r="I6" s="3">
        <v>1.0</v>
      </c>
      <c r="J6" s="4">
        <v>30000.0</v>
      </c>
      <c r="K6" s="3">
        <v>0.2</v>
      </c>
    </row>
    <row r="7" ht="15.75" customHeight="1">
      <c r="A7" s="2">
        <v>92.5</v>
      </c>
      <c r="B7" s="2">
        <v>1420.0</v>
      </c>
      <c r="C7" s="2">
        <v>6.0</v>
      </c>
      <c r="D7" s="3">
        <v>5.0</v>
      </c>
      <c r="E7" s="2">
        <v>4.0</v>
      </c>
      <c r="F7" s="2">
        <v>0.0</v>
      </c>
      <c r="G7" s="2">
        <v>2.0</v>
      </c>
      <c r="H7" s="2">
        <v>1.0</v>
      </c>
      <c r="I7" s="3">
        <v>2.0</v>
      </c>
      <c r="J7" s="4">
        <v>65000.0</v>
      </c>
      <c r="K7" s="3">
        <v>0.8</v>
      </c>
    </row>
    <row r="8" ht="15.75" customHeight="1">
      <c r="A8" s="2">
        <v>100.0</v>
      </c>
      <c r="B8" s="2">
        <v>1580.0</v>
      </c>
      <c r="C8" s="2">
        <v>10.0</v>
      </c>
      <c r="D8" s="3">
        <v>5.0</v>
      </c>
      <c r="E8" s="2">
        <v>5.0</v>
      </c>
      <c r="F8" s="2">
        <v>0.0</v>
      </c>
      <c r="G8" s="2">
        <v>4.0</v>
      </c>
      <c r="H8" s="2">
        <v>1.0</v>
      </c>
      <c r="I8" s="3">
        <v>4.0</v>
      </c>
      <c r="J8" s="4">
        <v>90000.0</v>
      </c>
      <c r="K8" s="3">
        <v>0.98</v>
      </c>
    </row>
    <row r="9" ht="15.75" customHeight="1">
      <c r="A9" s="2">
        <v>85.0</v>
      </c>
      <c r="B9" s="2">
        <v>1250.0</v>
      </c>
      <c r="C9" s="2">
        <v>6.0</v>
      </c>
      <c r="D9" s="3">
        <v>3.0</v>
      </c>
      <c r="E9" s="2">
        <v>4.0</v>
      </c>
      <c r="F9" s="2">
        <v>0.0</v>
      </c>
      <c r="G9" s="2">
        <v>1.0</v>
      </c>
      <c r="H9" s="2">
        <v>0.0</v>
      </c>
      <c r="I9" s="3">
        <v>2.0</v>
      </c>
      <c r="J9" s="4">
        <v>120000.0</v>
      </c>
      <c r="K9" s="3">
        <v>0.55</v>
      </c>
    </row>
    <row r="10" ht="15.75" customHeight="1">
      <c r="A10" s="2">
        <v>77.5</v>
      </c>
      <c r="B10" s="2">
        <v>1050.0</v>
      </c>
      <c r="C10" s="2">
        <v>3.0</v>
      </c>
      <c r="D10" s="3">
        <v>4.0</v>
      </c>
      <c r="E10" s="2">
        <v>3.0</v>
      </c>
      <c r="F10" s="2">
        <v>1.0</v>
      </c>
      <c r="G10" s="2">
        <v>0.0</v>
      </c>
      <c r="H10" s="2">
        <v>0.0</v>
      </c>
      <c r="I10" s="3">
        <v>1.0</v>
      </c>
      <c r="J10" s="4">
        <v>20000.0</v>
      </c>
      <c r="K10" s="3">
        <v>0.3</v>
      </c>
    </row>
    <row r="11" ht="15.75" customHeight="1">
      <c r="A11" s="2">
        <v>95.0</v>
      </c>
      <c r="B11" s="2">
        <v>1480.0</v>
      </c>
      <c r="C11" s="2">
        <v>9.0</v>
      </c>
      <c r="D11" s="3">
        <v>5.0</v>
      </c>
      <c r="E11" s="2">
        <v>5.0</v>
      </c>
      <c r="F11" s="2">
        <v>0.0</v>
      </c>
      <c r="G11" s="2">
        <v>2.0</v>
      </c>
      <c r="H11" s="2">
        <v>1.0</v>
      </c>
      <c r="I11" s="3">
        <v>3.0</v>
      </c>
      <c r="J11" s="4">
        <v>75000.0</v>
      </c>
      <c r="K11" s="3">
        <v>0.88</v>
      </c>
    </row>
    <row r="12" ht="15.0" customHeight="1">
      <c r="A12" s="2">
        <v>92.0</v>
      </c>
      <c r="B12" s="2">
        <v>1400.0</v>
      </c>
      <c r="C12" s="2">
        <v>7.0</v>
      </c>
      <c r="D12" s="2">
        <v>3.0</v>
      </c>
      <c r="E12" s="2">
        <v>2.0</v>
      </c>
      <c r="F12" s="2">
        <v>0.0</v>
      </c>
      <c r="G12" s="2">
        <v>2.0</v>
      </c>
      <c r="H12" s="2">
        <v>1.0</v>
      </c>
      <c r="I12" s="2">
        <v>4.0</v>
      </c>
      <c r="J12" s="4">
        <v>95000.0</v>
      </c>
      <c r="K12" s="5"/>
    </row>
    <row r="13" ht="15.75" customHeight="1">
      <c r="A13" s="2">
        <v>93.5</v>
      </c>
      <c r="B13" s="2">
        <v>1300.0</v>
      </c>
      <c r="C13" s="2">
        <v>4.0</v>
      </c>
      <c r="D13" s="2">
        <v>5.0</v>
      </c>
      <c r="E13" s="2">
        <v>4.0</v>
      </c>
      <c r="F13" s="2">
        <v>1.0</v>
      </c>
      <c r="G13" s="2">
        <v>2.0</v>
      </c>
      <c r="H13" s="2">
        <v>1.0</v>
      </c>
      <c r="I13" s="2">
        <v>3.0</v>
      </c>
      <c r="J13" s="4">
        <v>30000.0</v>
      </c>
      <c r="K13" s="5"/>
    </row>
    <row r="14" ht="15.75" customHeight="1"/>
    <row r="15" ht="15.75" customHeight="1"/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ht="15.75" customHeight="1">
      <c r="E17" s="7"/>
    </row>
    <row r="18" ht="15.75" customHeight="1">
      <c r="E18" s="7"/>
    </row>
    <row r="19" ht="15.75" customHeight="1">
      <c r="E19" s="7"/>
    </row>
    <row r="20" ht="15.75" customHeight="1">
      <c r="E20" s="7"/>
    </row>
    <row r="21" ht="15.75" customHeight="1">
      <c r="E21" s="7"/>
    </row>
    <row r="22" ht="15.75" customHeight="1">
      <c r="E22" s="7"/>
    </row>
    <row r="23" ht="15.75" customHeight="1">
      <c r="E23" s="7"/>
    </row>
    <row r="24" ht="15.75" customHeight="1">
      <c r="E24" s="7"/>
    </row>
    <row r="25" ht="15.75" customHeight="1">
      <c r="E25" s="7"/>
    </row>
    <row r="26" ht="15.75" customHeight="1">
      <c r="E26" s="7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3.33"/>
    <col customWidth="1" min="4" max="4" width="3.78"/>
    <col customWidth="1" min="5" max="5" width="4.78"/>
    <col customWidth="1" min="6" max="6" width="4.44"/>
    <col customWidth="1" min="7" max="7" width="4.11"/>
    <col customWidth="1" min="8" max="8" width="3.56"/>
    <col customWidth="1" min="9" max="9" width="5.67"/>
    <col customWidth="1" min="10" max="10" width="6.78"/>
    <col customWidth="1" min="11" max="11" width="4.78"/>
    <col customWidth="1" min="12" max="16" width="10.56"/>
    <col customWidth="1" min="17" max="17" width="16.78"/>
    <col customWidth="1" min="18" max="18" width="10.56"/>
    <col customWidth="1" min="19" max="19" width="23.56"/>
    <col customWidth="1" min="20" max="26" width="10.56"/>
  </cols>
  <sheetData>
    <row r="1" ht="15.75" customHeight="1">
      <c r="A1" s="5"/>
      <c r="B1" s="5" t="s">
        <v>51</v>
      </c>
      <c r="C1" s="5" t="s">
        <v>52</v>
      </c>
      <c r="D1" s="5" t="s">
        <v>42</v>
      </c>
      <c r="E1" s="5" t="s">
        <v>44</v>
      </c>
      <c r="F1" s="5" t="s">
        <v>53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38</v>
      </c>
      <c r="M1" s="9" t="s">
        <v>39</v>
      </c>
      <c r="N1" s="9" t="s">
        <v>19</v>
      </c>
      <c r="O1" s="9" t="s">
        <v>20</v>
      </c>
      <c r="P1" s="9" t="s">
        <v>23</v>
      </c>
      <c r="Q1" s="12" t="s">
        <v>67</v>
      </c>
    </row>
    <row r="2" ht="15.75" customHeight="1">
      <c r="A2" s="5" t="s">
        <v>19</v>
      </c>
      <c r="B2" s="5" t="s">
        <v>20</v>
      </c>
      <c r="C2" s="5" t="s">
        <v>20</v>
      </c>
      <c r="D2" s="5" t="s">
        <v>19</v>
      </c>
      <c r="E2" s="5" t="s">
        <v>46</v>
      </c>
      <c r="F2" s="5" t="s">
        <v>62</v>
      </c>
      <c r="G2" s="5" t="s">
        <v>20</v>
      </c>
      <c r="H2" s="5" t="s">
        <v>19</v>
      </c>
      <c r="I2" s="5" t="s">
        <v>63</v>
      </c>
      <c r="J2" s="40" t="s">
        <v>68</v>
      </c>
      <c r="K2" s="5" t="s">
        <v>19</v>
      </c>
      <c r="M2" s="8" t="s">
        <v>14</v>
      </c>
      <c r="N2" s="8">
        <f t="shared" ref="N2:O2" si="1">COUNTIFS($A$2:$A$13, N$1)</f>
        <v>6</v>
      </c>
      <c r="O2" s="8">
        <f t="shared" si="1"/>
        <v>6</v>
      </c>
      <c r="P2" s="9">
        <f t="shared" ref="P2:P4" si="3">SUM(N2:O2)</f>
        <v>12</v>
      </c>
      <c r="Q2" s="9">
        <f t="shared" ref="Q2:Q4" si="4">1-MAX(N2/P2,O2/P2)</f>
        <v>0.5</v>
      </c>
    </row>
    <row r="3" ht="15.75" customHeight="1">
      <c r="A3" s="5" t="s">
        <v>19</v>
      </c>
      <c r="B3" s="5" t="s">
        <v>20</v>
      </c>
      <c r="C3" s="5" t="s">
        <v>20</v>
      </c>
      <c r="D3" s="5" t="s">
        <v>19</v>
      </c>
      <c r="E3" s="5" t="s">
        <v>47</v>
      </c>
      <c r="F3" s="5" t="s">
        <v>58</v>
      </c>
      <c r="G3" s="5" t="s">
        <v>20</v>
      </c>
      <c r="H3" s="5" t="s">
        <v>20</v>
      </c>
      <c r="I3" s="5" t="s">
        <v>59</v>
      </c>
      <c r="J3" s="5" t="s">
        <v>60</v>
      </c>
      <c r="K3" s="5" t="s">
        <v>20</v>
      </c>
      <c r="M3" s="8" t="s">
        <v>19</v>
      </c>
      <c r="N3" s="9">
        <f t="shared" ref="N3:O3" si="2">COUNTIFS($A$2:$A$13,$M3,$K$2:$K$13,N$1)</f>
        <v>3</v>
      </c>
      <c r="O3" s="9">
        <f t="shared" si="2"/>
        <v>3</v>
      </c>
      <c r="P3" s="9">
        <f t="shared" si="3"/>
        <v>6</v>
      </c>
      <c r="Q3" s="9">
        <f t="shared" si="4"/>
        <v>0.5</v>
      </c>
    </row>
    <row r="4" ht="15.75" customHeight="1">
      <c r="A4" s="5" t="s">
        <v>20</v>
      </c>
      <c r="B4" s="5" t="s">
        <v>19</v>
      </c>
      <c r="C4" s="5" t="s">
        <v>20</v>
      </c>
      <c r="D4" s="5" t="s">
        <v>20</v>
      </c>
      <c r="E4" s="5" t="s">
        <v>46</v>
      </c>
      <c r="F4" s="5" t="s">
        <v>58</v>
      </c>
      <c r="G4" s="5" t="s">
        <v>20</v>
      </c>
      <c r="H4" s="5" t="s">
        <v>20</v>
      </c>
      <c r="I4" s="5" t="s">
        <v>65</v>
      </c>
      <c r="J4" s="5" t="s">
        <v>68</v>
      </c>
      <c r="K4" s="5" t="s">
        <v>19</v>
      </c>
      <c r="M4" s="8" t="s">
        <v>20</v>
      </c>
      <c r="N4" s="9">
        <f t="shared" ref="N4:O4" si="5">COUNTIFS($A$2:$A$13,$M4,$K$2:$K$13,N$1)</f>
        <v>3</v>
      </c>
      <c r="O4" s="9">
        <f t="shared" si="5"/>
        <v>3</v>
      </c>
      <c r="P4" s="9">
        <f t="shared" si="3"/>
        <v>6</v>
      </c>
      <c r="Q4" s="9">
        <f t="shared" si="4"/>
        <v>0.5</v>
      </c>
    </row>
    <row r="5" ht="15.75" customHeight="1">
      <c r="A5" s="5" t="s">
        <v>19</v>
      </c>
      <c r="B5" s="5" t="s">
        <v>20</v>
      </c>
      <c r="C5" s="5" t="s">
        <v>19</v>
      </c>
      <c r="D5" s="5" t="s">
        <v>19</v>
      </c>
      <c r="E5" s="5" t="s">
        <v>47</v>
      </c>
      <c r="F5" s="5" t="s">
        <v>58</v>
      </c>
      <c r="G5" s="5" t="s">
        <v>19</v>
      </c>
      <c r="H5" s="5" t="s">
        <v>20</v>
      </c>
      <c r="I5" s="5" t="s">
        <v>59</v>
      </c>
      <c r="J5" s="38" t="s">
        <v>61</v>
      </c>
      <c r="K5" s="5" t="s">
        <v>19</v>
      </c>
      <c r="Q5" s="37">
        <f>Q2-(Q3*(P3/P2)+Q4*(P4/P2))</f>
        <v>0</v>
      </c>
      <c r="R5" s="8" t="s">
        <v>69</v>
      </c>
    </row>
    <row r="6" ht="15.75" customHeight="1">
      <c r="A6" s="5" t="s">
        <v>19</v>
      </c>
      <c r="B6" s="5" t="s">
        <v>20</v>
      </c>
      <c r="C6" s="5" t="s">
        <v>19</v>
      </c>
      <c r="D6" s="5" t="s">
        <v>20</v>
      </c>
      <c r="E6" s="5" t="s">
        <v>47</v>
      </c>
      <c r="F6" s="5" t="s">
        <v>62</v>
      </c>
      <c r="G6" s="5" t="s">
        <v>20</v>
      </c>
      <c r="H6" s="5" t="s">
        <v>19</v>
      </c>
      <c r="I6" s="5" t="s">
        <v>63</v>
      </c>
      <c r="J6" s="5" t="s">
        <v>64</v>
      </c>
      <c r="K6" s="5" t="s">
        <v>20</v>
      </c>
      <c r="M6" s="9" t="s">
        <v>42</v>
      </c>
      <c r="N6" s="9" t="s">
        <v>19</v>
      </c>
      <c r="O6" s="9" t="s">
        <v>20</v>
      </c>
      <c r="P6" s="9" t="s">
        <v>23</v>
      </c>
      <c r="Q6" s="12" t="s">
        <v>67</v>
      </c>
    </row>
    <row r="7" ht="15.75" customHeight="1">
      <c r="A7" s="5" t="s">
        <v>20</v>
      </c>
      <c r="B7" s="5" t="s">
        <v>19</v>
      </c>
      <c r="C7" s="5" t="s">
        <v>20</v>
      </c>
      <c r="D7" s="5" t="s">
        <v>19</v>
      </c>
      <c r="E7" s="5" t="s">
        <v>46</v>
      </c>
      <c r="F7" s="5" t="s">
        <v>70</v>
      </c>
      <c r="G7" s="5" t="s">
        <v>19</v>
      </c>
      <c r="H7" s="5" t="s">
        <v>19</v>
      </c>
      <c r="I7" s="5" t="s">
        <v>66</v>
      </c>
      <c r="J7" s="5" t="s">
        <v>68</v>
      </c>
      <c r="K7" s="5" t="s">
        <v>19</v>
      </c>
      <c r="M7" s="8" t="s">
        <v>14</v>
      </c>
      <c r="N7" s="8">
        <f t="shared" ref="N7:O7" si="6">COUNTIFS($A$2:$A$13, N$1)</f>
        <v>6</v>
      </c>
      <c r="O7" s="8">
        <f t="shared" si="6"/>
        <v>6</v>
      </c>
      <c r="P7" s="9">
        <f t="shared" ref="P7:P9" si="8">SUM(N7:O7)</f>
        <v>12</v>
      </c>
      <c r="Q7" s="9">
        <f t="shared" ref="Q7:Q9" si="9">1-MAX(N7/P7,O7/P7)</f>
        <v>0.5</v>
      </c>
    </row>
    <row r="8" ht="15.75" customHeight="1">
      <c r="A8" s="5" t="s">
        <v>20</v>
      </c>
      <c r="B8" s="5" t="s">
        <v>19</v>
      </c>
      <c r="C8" s="5" t="s">
        <v>20</v>
      </c>
      <c r="D8" s="5" t="s">
        <v>20</v>
      </c>
      <c r="E8" s="5" t="s">
        <v>45</v>
      </c>
      <c r="F8" s="5" t="s">
        <v>58</v>
      </c>
      <c r="G8" s="5" t="s">
        <v>19</v>
      </c>
      <c r="H8" s="5" t="s">
        <v>20</v>
      </c>
      <c r="I8" s="5" t="s">
        <v>65</v>
      </c>
      <c r="J8" s="5" t="s">
        <v>68</v>
      </c>
      <c r="K8" s="5" t="s">
        <v>20</v>
      </c>
      <c r="M8" s="9" t="s">
        <v>19</v>
      </c>
      <c r="N8" s="9">
        <f t="shared" ref="N8:O8" si="7">COUNTIFS($D$2:$D$13,$M8,$K$2:$K$13,N$6)</f>
        <v>5</v>
      </c>
      <c r="O8" s="9">
        <f t="shared" si="7"/>
        <v>2</v>
      </c>
      <c r="P8" s="9">
        <f t="shared" si="8"/>
        <v>7</v>
      </c>
      <c r="Q8" s="14">
        <f t="shared" si="9"/>
        <v>0.2857142857</v>
      </c>
    </row>
    <row r="9" ht="15.75" customHeight="1">
      <c r="A9" s="5" t="s">
        <v>20</v>
      </c>
      <c r="B9" s="5" t="s">
        <v>20</v>
      </c>
      <c r="C9" s="5" t="s">
        <v>20</v>
      </c>
      <c r="D9" s="5" t="s">
        <v>19</v>
      </c>
      <c r="E9" s="5" t="s">
        <v>46</v>
      </c>
      <c r="F9" s="5" t="s">
        <v>70</v>
      </c>
      <c r="G9" s="5" t="s">
        <v>19</v>
      </c>
      <c r="H9" s="5" t="s">
        <v>19</v>
      </c>
      <c r="I9" s="5" t="s">
        <v>59</v>
      </c>
      <c r="J9" s="5" t="s">
        <v>68</v>
      </c>
      <c r="K9" s="5" t="s">
        <v>19</v>
      </c>
      <c r="M9" s="9" t="s">
        <v>20</v>
      </c>
      <c r="N9" s="9">
        <f t="shared" ref="N9:O9" si="10">COUNTIFS($D$2:$D$13,$M9,$K$2:$K$13,N$6)</f>
        <v>1</v>
      </c>
      <c r="O9" s="9">
        <f t="shared" si="10"/>
        <v>4</v>
      </c>
      <c r="P9" s="9">
        <f t="shared" si="8"/>
        <v>5</v>
      </c>
      <c r="Q9" s="9">
        <f t="shared" si="9"/>
        <v>0.2</v>
      </c>
    </row>
    <row r="10" ht="15.75" customHeight="1">
      <c r="A10" s="5" t="s">
        <v>20</v>
      </c>
      <c r="B10" s="5" t="s">
        <v>19</v>
      </c>
      <c r="C10" s="5" t="s">
        <v>19</v>
      </c>
      <c r="D10" s="5" t="s">
        <v>20</v>
      </c>
      <c r="E10" s="5" t="s">
        <v>47</v>
      </c>
      <c r="F10" s="5" t="s">
        <v>58</v>
      </c>
      <c r="G10" s="5" t="s">
        <v>19</v>
      </c>
      <c r="H10" s="5" t="s">
        <v>20</v>
      </c>
      <c r="I10" s="5" t="s">
        <v>65</v>
      </c>
      <c r="J10" s="5" t="s">
        <v>64</v>
      </c>
      <c r="K10" s="5" t="s">
        <v>20</v>
      </c>
      <c r="Q10" s="37">
        <f>Q7-(Q8*(P8/P7)+Q9*(P9/P7))</f>
        <v>0.25</v>
      </c>
      <c r="R10" s="8" t="s">
        <v>71</v>
      </c>
    </row>
    <row r="11" ht="15.75" customHeight="1">
      <c r="A11" s="5" t="s">
        <v>19</v>
      </c>
      <c r="B11" s="5" t="s">
        <v>19</v>
      </c>
      <c r="C11" s="5" t="s">
        <v>19</v>
      </c>
      <c r="D11" s="5" t="s">
        <v>19</v>
      </c>
      <c r="E11" s="5" t="s">
        <v>47</v>
      </c>
      <c r="F11" s="5" t="s">
        <v>62</v>
      </c>
      <c r="G11" s="5" t="s">
        <v>20</v>
      </c>
      <c r="H11" s="5" t="s">
        <v>19</v>
      </c>
      <c r="I11" s="5" t="s">
        <v>66</v>
      </c>
      <c r="J11" s="5" t="s">
        <v>61</v>
      </c>
      <c r="K11" s="5" t="s">
        <v>20</v>
      </c>
      <c r="M11" s="9" t="s">
        <v>44</v>
      </c>
      <c r="N11" s="9" t="s">
        <v>19</v>
      </c>
      <c r="O11" s="9" t="s">
        <v>20</v>
      </c>
      <c r="P11" s="9" t="s">
        <v>23</v>
      </c>
      <c r="Q11" s="12" t="s">
        <v>67</v>
      </c>
    </row>
    <row r="12" ht="15.75" customHeight="1">
      <c r="A12" s="5" t="s">
        <v>20</v>
      </c>
      <c r="B12" s="5" t="s">
        <v>20</v>
      </c>
      <c r="C12" s="5" t="s">
        <v>20</v>
      </c>
      <c r="D12" s="5" t="s">
        <v>20</v>
      </c>
      <c r="E12" s="5" t="s">
        <v>45</v>
      </c>
      <c r="F12" s="5" t="s">
        <v>58</v>
      </c>
      <c r="G12" s="5" t="s">
        <v>20</v>
      </c>
      <c r="H12" s="5" t="s">
        <v>20</v>
      </c>
      <c r="I12" s="5" t="s">
        <v>59</v>
      </c>
      <c r="J12" s="5" t="s">
        <v>68</v>
      </c>
      <c r="K12" s="5" t="s">
        <v>20</v>
      </c>
      <c r="M12" s="8" t="s">
        <v>14</v>
      </c>
      <c r="N12" s="8">
        <f t="shared" ref="N12:O12" si="11">COUNTIFS($A$2:$A$13, N$1)</f>
        <v>6</v>
      </c>
      <c r="O12" s="8">
        <f t="shared" si="11"/>
        <v>6</v>
      </c>
      <c r="P12" s="9">
        <f t="shared" ref="P12:P15" si="13">SUM(N12:O12)</f>
        <v>12</v>
      </c>
      <c r="Q12" s="9">
        <f t="shared" ref="Q12:Q15" si="14">1-MAX(N12/P12,O12/P12)</f>
        <v>0.5</v>
      </c>
    </row>
    <row r="13" ht="15.75" customHeight="1">
      <c r="A13" s="5" t="s">
        <v>19</v>
      </c>
      <c r="B13" s="5" t="s">
        <v>19</v>
      </c>
      <c r="C13" s="5" t="s">
        <v>19</v>
      </c>
      <c r="D13" s="5" t="s">
        <v>19</v>
      </c>
      <c r="E13" s="5" t="s">
        <v>47</v>
      </c>
      <c r="F13" s="5" t="s">
        <v>58</v>
      </c>
      <c r="G13" s="5" t="s">
        <v>20</v>
      </c>
      <c r="H13" s="5" t="s">
        <v>20</v>
      </c>
      <c r="I13" s="5" t="s">
        <v>65</v>
      </c>
      <c r="J13" s="5" t="s">
        <v>60</v>
      </c>
      <c r="K13" s="5" t="s">
        <v>19</v>
      </c>
      <c r="M13" s="9" t="s">
        <v>45</v>
      </c>
      <c r="N13" s="9">
        <f t="shared" ref="N13:O13" si="12">COUNTIFS($E$2:$E$13,$M13,$K$2:$K$13,N$11)</f>
        <v>0</v>
      </c>
      <c r="O13" s="9">
        <f t="shared" si="12"/>
        <v>2</v>
      </c>
      <c r="P13" s="9">
        <f t="shared" si="13"/>
        <v>2</v>
      </c>
      <c r="Q13" s="9">
        <f t="shared" si="14"/>
        <v>0</v>
      </c>
    </row>
    <row r="14" ht="15.75" customHeight="1">
      <c r="M14" s="9" t="s">
        <v>46</v>
      </c>
      <c r="N14" s="9">
        <f t="shared" ref="N14:O14" si="15">COUNTIFS($E$2:$E$13,$M14,$K$2:$K$13,N$11)</f>
        <v>4</v>
      </c>
      <c r="O14" s="9">
        <f t="shared" si="15"/>
        <v>0</v>
      </c>
      <c r="P14" s="9">
        <f t="shared" si="13"/>
        <v>4</v>
      </c>
      <c r="Q14" s="9">
        <f t="shared" si="14"/>
        <v>0</v>
      </c>
    </row>
    <row r="15" ht="15.75" customHeight="1">
      <c r="M15" s="9" t="s">
        <v>47</v>
      </c>
      <c r="N15" s="9">
        <f t="shared" ref="N15:O15" si="16">COUNTIFS($E$2:$E$13,$M15,$K$2:$K$13,N$11)</f>
        <v>2</v>
      </c>
      <c r="O15" s="9">
        <f t="shared" si="16"/>
        <v>4</v>
      </c>
      <c r="P15" s="9">
        <f t="shared" si="13"/>
        <v>6</v>
      </c>
      <c r="Q15" s="14">
        <f t="shared" si="14"/>
        <v>0.3333333333</v>
      </c>
    </row>
    <row r="16" ht="15.75" customHeight="1">
      <c r="Q16" s="37">
        <f>Q12-(Q13*(P13/P12)+Q14*(P14/P12)+Q15*(P15/P12))</f>
        <v>0.3333333333</v>
      </c>
      <c r="R16" s="8" t="s">
        <v>72</v>
      </c>
      <c r="S16" s="8" t="s">
        <v>73</v>
      </c>
    </row>
    <row r="17" ht="15.75" customHeight="1"/>
    <row r="18" ht="15.75" customHeight="1">
      <c r="A18" s="33" t="s">
        <v>50</v>
      </c>
    </row>
    <row r="19" ht="15.75" customHeight="1">
      <c r="A19" s="5" t="s">
        <v>39</v>
      </c>
      <c r="B19" s="5" t="s">
        <v>51</v>
      </c>
      <c r="C19" s="5" t="s">
        <v>52</v>
      </c>
      <c r="D19" s="5" t="s">
        <v>42</v>
      </c>
      <c r="E19" s="5" t="s">
        <v>44</v>
      </c>
      <c r="F19" s="5" t="s">
        <v>53</v>
      </c>
      <c r="G19" s="5" t="s">
        <v>54</v>
      </c>
      <c r="H19" s="5" t="s">
        <v>55</v>
      </c>
      <c r="I19" s="5" t="s">
        <v>56</v>
      </c>
      <c r="J19" s="5" t="s">
        <v>57</v>
      </c>
      <c r="K19" s="5" t="s">
        <v>38</v>
      </c>
      <c r="M19" s="8" t="s">
        <v>39</v>
      </c>
      <c r="N19" s="8" t="s">
        <v>19</v>
      </c>
      <c r="O19" s="8" t="s">
        <v>20</v>
      </c>
      <c r="P19" s="8" t="s">
        <v>23</v>
      </c>
      <c r="Q19" s="12" t="s">
        <v>67</v>
      </c>
    </row>
    <row r="20" ht="15.75" customHeight="1">
      <c r="A20" s="5" t="s">
        <v>19</v>
      </c>
      <c r="B20" s="5" t="s">
        <v>20</v>
      </c>
      <c r="C20" s="5" t="s">
        <v>20</v>
      </c>
      <c r="D20" s="5" t="s">
        <v>19</v>
      </c>
      <c r="E20" s="5" t="s">
        <v>47</v>
      </c>
      <c r="F20" s="5" t="s">
        <v>58</v>
      </c>
      <c r="G20" s="5" t="s">
        <v>20</v>
      </c>
      <c r="H20" s="5" t="s">
        <v>20</v>
      </c>
      <c r="I20" s="5" t="s">
        <v>59</v>
      </c>
      <c r="J20" s="5" t="s">
        <v>60</v>
      </c>
      <c r="K20" s="5" t="s">
        <v>20</v>
      </c>
      <c r="M20" s="8" t="s">
        <v>14</v>
      </c>
      <c r="N20" s="9">
        <f t="shared" ref="N20:O20" si="17">COUNTIFS($K$20:$K$25, N$19)</f>
        <v>2</v>
      </c>
      <c r="O20" s="9">
        <f t="shared" si="17"/>
        <v>4</v>
      </c>
      <c r="P20" s="9">
        <f t="shared" ref="P20:P22" si="19">SUM(N20:O20)</f>
        <v>6</v>
      </c>
      <c r="Q20" s="14">
        <f t="shared" ref="Q20:Q22" si="20">1-MAX(N20/P20,O20/P20)</f>
        <v>0.3333333333</v>
      </c>
    </row>
    <row r="21" ht="15.75" customHeight="1">
      <c r="A21" s="5" t="s">
        <v>19</v>
      </c>
      <c r="B21" s="5" t="s">
        <v>20</v>
      </c>
      <c r="C21" s="5" t="s">
        <v>19</v>
      </c>
      <c r="D21" s="5" t="s">
        <v>19</v>
      </c>
      <c r="E21" s="5" t="s">
        <v>47</v>
      </c>
      <c r="F21" s="5" t="s">
        <v>58</v>
      </c>
      <c r="G21" s="5" t="s">
        <v>19</v>
      </c>
      <c r="H21" s="5" t="s">
        <v>20</v>
      </c>
      <c r="I21" s="5" t="s">
        <v>59</v>
      </c>
      <c r="J21" s="38" t="s">
        <v>61</v>
      </c>
      <c r="K21" s="5" t="s">
        <v>19</v>
      </c>
      <c r="M21" s="8" t="s">
        <v>19</v>
      </c>
      <c r="N21" s="9">
        <f t="shared" ref="N21:O21" si="18">COUNTIFS($A$20:$A$25, $M21, $K$20:$K$25, N$19)</f>
        <v>2</v>
      </c>
      <c r="O21" s="9">
        <f t="shared" si="18"/>
        <v>3</v>
      </c>
      <c r="P21" s="9">
        <f t="shared" si="19"/>
        <v>5</v>
      </c>
      <c r="Q21" s="41">
        <f t="shared" si="20"/>
        <v>0.4</v>
      </c>
    </row>
    <row r="22" ht="15.75" customHeight="1">
      <c r="A22" s="5" t="s">
        <v>19</v>
      </c>
      <c r="B22" s="5" t="s">
        <v>20</v>
      </c>
      <c r="C22" s="5" t="s">
        <v>19</v>
      </c>
      <c r="D22" s="5" t="s">
        <v>20</v>
      </c>
      <c r="E22" s="5" t="s">
        <v>47</v>
      </c>
      <c r="F22" s="5" t="s">
        <v>62</v>
      </c>
      <c r="G22" s="5" t="s">
        <v>20</v>
      </c>
      <c r="H22" s="5" t="s">
        <v>19</v>
      </c>
      <c r="I22" s="5" t="s">
        <v>63</v>
      </c>
      <c r="J22" s="5" t="s">
        <v>64</v>
      </c>
      <c r="K22" s="5" t="s">
        <v>20</v>
      </c>
      <c r="M22" s="8" t="s">
        <v>20</v>
      </c>
      <c r="N22" s="9">
        <f t="shared" ref="N22:O22" si="21">COUNTIFS($A$20:$A$25, $M22, $K$20:$K$25, N$19)</f>
        <v>0</v>
      </c>
      <c r="O22" s="9">
        <f t="shared" si="21"/>
        <v>1</v>
      </c>
      <c r="P22" s="9">
        <f t="shared" si="19"/>
        <v>1</v>
      </c>
      <c r="Q22" s="9">
        <f t="shared" si="20"/>
        <v>0</v>
      </c>
    </row>
    <row r="23" ht="15.75" customHeight="1">
      <c r="A23" s="5" t="s">
        <v>20</v>
      </c>
      <c r="B23" s="5" t="s">
        <v>19</v>
      </c>
      <c r="C23" s="5" t="s">
        <v>19</v>
      </c>
      <c r="D23" s="5" t="s">
        <v>20</v>
      </c>
      <c r="E23" s="5" t="s">
        <v>47</v>
      </c>
      <c r="F23" s="5" t="s">
        <v>58</v>
      </c>
      <c r="G23" s="5" t="s">
        <v>19</v>
      </c>
      <c r="H23" s="5" t="s">
        <v>20</v>
      </c>
      <c r="I23" s="5" t="s">
        <v>65</v>
      </c>
      <c r="J23" s="5" t="s">
        <v>64</v>
      </c>
      <c r="K23" s="5" t="s">
        <v>20</v>
      </c>
      <c r="Q23" s="37">
        <f>Q20-(Q21*(P21/P20)+Q22*(P22/P20))</f>
        <v>0</v>
      </c>
      <c r="R23" s="8" t="s">
        <v>69</v>
      </c>
      <c r="S23" s="8" t="s">
        <v>74</v>
      </c>
    </row>
    <row r="24" ht="15.75" customHeight="1">
      <c r="A24" s="5" t="s">
        <v>19</v>
      </c>
      <c r="B24" s="5" t="s">
        <v>19</v>
      </c>
      <c r="C24" s="5" t="s">
        <v>19</v>
      </c>
      <c r="D24" s="5" t="s">
        <v>19</v>
      </c>
      <c r="E24" s="5" t="s">
        <v>47</v>
      </c>
      <c r="F24" s="5" t="s">
        <v>62</v>
      </c>
      <c r="G24" s="5" t="s">
        <v>20</v>
      </c>
      <c r="H24" s="5" t="s">
        <v>19</v>
      </c>
      <c r="I24" s="5" t="s">
        <v>66</v>
      </c>
      <c r="J24" s="5" t="s">
        <v>61</v>
      </c>
      <c r="K24" s="5" t="s">
        <v>20</v>
      </c>
      <c r="M24" s="8" t="s">
        <v>42</v>
      </c>
      <c r="N24" s="8" t="s">
        <v>19</v>
      </c>
      <c r="O24" s="8" t="s">
        <v>20</v>
      </c>
      <c r="P24" s="8" t="s">
        <v>23</v>
      </c>
      <c r="Q24" s="12" t="s">
        <v>67</v>
      </c>
    </row>
    <row r="25" ht="15.75" customHeight="1">
      <c r="A25" s="5" t="s">
        <v>19</v>
      </c>
      <c r="B25" s="5" t="s">
        <v>19</v>
      </c>
      <c r="C25" s="5" t="s">
        <v>19</v>
      </c>
      <c r="D25" s="5" t="s">
        <v>19</v>
      </c>
      <c r="E25" s="5" t="s">
        <v>47</v>
      </c>
      <c r="F25" s="5" t="s">
        <v>58</v>
      </c>
      <c r="G25" s="5" t="s">
        <v>20</v>
      </c>
      <c r="H25" s="5" t="s">
        <v>20</v>
      </c>
      <c r="I25" s="5" t="s">
        <v>65</v>
      </c>
      <c r="J25" s="5" t="s">
        <v>60</v>
      </c>
      <c r="K25" s="5" t="s">
        <v>19</v>
      </c>
      <c r="M25" s="8" t="s">
        <v>14</v>
      </c>
      <c r="N25" s="9">
        <f t="shared" ref="N25:O25" si="22">COUNTIFS($K$20:$K$25, N$19)</f>
        <v>2</v>
      </c>
      <c r="O25" s="9">
        <f t="shared" si="22"/>
        <v>4</v>
      </c>
      <c r="P25" s="9">
        <f t="shared" ref="P25:P27" si="24">SUM(N25:O25)</f>
        <v>6</v>
      </c>
      <c r="Q25" s="14">
        <f t="shared" ref="Q25:Q27" si="25">1-MAX(N25/P25,O25/P25)</f>
        <v>0.3333333333</v>
      </c>
    </row>
    <row r="26" ht="15.75" customHeight="1">
      <c r="M26" s="8" t="s">
        <v>19</v>
      </c>
      <c r="N26" s="9">
        <f t="shared" ref="N26:O26" si="23">COUNTIFS($D$20:$D$25, $M26, $K$20:$K$25, N$24)</f>
        <v>2</v>
      </c>
      <c r="O26" s="9">
        <f t="shared" si="23"/>
        <v>2</v>
      </c>
      <c r="P26" s="9">
        <f t="shared" si="24"/>
        <v>4</v>
      </c>
      <c r="Q26" s="41">
        <f t="shared" si="25"/>
        <v>0.5</v>
      </c>
    </row>
    <row r="27" ht="15.75" customHeight="1">
      <c r="M27" s="8" t="s">
        <v>20</v>
      </c>
      <c r="N27" s="9">
        <f t="shared" ref="N27:O27" si="26">COUNTIFS($D$20:$D$25, $M27, $K$20:$K$25, N$24)</f>
        <v>0</v>
      </c>
      <c r="O27" s="9">
        <f t="shared" si="26"/>
        <v>2</v>
      </c>
      <c r="P27" s="9">
        <f t="shared" si="24"/>
        <v>2</v>
      </c>
      <c r="Q27" s="9">
        <f t="shared" si="25"/>
        <v>0</v>
      </c>
    </row>
    <row r="28" ht="15.75" customHeight="1">
      <c r="Q28" s="37">
        <f>Q25-(Q26*(P26/P25)+Q27*(P27/P25))</f>
        <v>0</v>
      </c>
      <c r="R28" s="8" t="s">
        <v>71</v>
      </c>
      <c r="S28" s="8" t="s">
        <v>74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8:C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9.33"/>
    <col customWidth="1" min="3" max="3" width="9.56"/>
    <col customWidth="1" min="4" max="4" width="10.56"/>
    <col customWidth="1" min="5" max="5" width="16.67"/>
    <col customWidth="1" min="6" max="8" width="10.56"/>
    <col customWidth="1" min="9" max="9" width="14.78"/>
    <col customWidth="1" min="10" max="10" width="23.56"/>
    <col customWidth="1" min="11" max="17" width="10.56"/>
  </cols>
  <sheetData>
    <row r="1" ht="15.75" customHeight="1">
      <c r="A1" s="2" t="s">
        <v>11</v>
      </c>
      <c r="B1" s="2" t="s">
        <v>12</v>
      </c>
      <c r="C1" s="2" t="s">
        <v>13</v>
      </c>
      <c r="E1" s="8" t="s">
        <v>14</v>
      </c>
      <c r="F1" s="9">
        <f>AVERAGE(C2:C11)</f>
        <v>7.71</v>
      </c>
      <c r="G1" s="8">
        <v>10.0</v>
      </c>
      <c r="H1" s="10">
        <v>0.459</v>
      </c>
    </row>
    <row r="2" ht="15.75" customHeight="1">
      <c r="A2" s="2">
        <v>160.0</v>
      </c>
      <c r="B2" s="2">
        <v>59.0</v>
      </c>
      <c r="C2" s="2">
        <v>7.3</v>
      </c>
      <c r="D2" s="11"/>
      <c r="E2" s="8" t="s">
        <v>15</v>
      </c>
      <c r="F2" s="8" t="s">
        <v>16</v>
      </c>
      <c r="G2" s="8" t="s">
        <v>17</v>
      </c>
      <c r="H2" s="12" t="s">
        <v>18</v>
      </c>
    </row>
    <row r="3" ht="15.75" customHeight="1">
      <c r="A3" s="2">
        <v>165.0</v>
      </c>
      <c r="B3" s="2">
        <v>55.0</v>
      </c>
      <c r="C3" s="2">
        <v>7.5</v>
      </c>
      <c r="D3" s="11"/>
      <c r="E3" s="8" t="s">
        <v>19</v>
      </c>
      <c r="F3" s="13">
        <f>AVERAGEIF(A$2:A$11,"&lt;=170",C$2:C$11)</f>
        <v>7.664285714</v>
      </c>
      <c r="G3" s="9">
        <f>COUNTIFS(A$2:A$11, "&lt;=170")</f>
        <v>7</v>
      </c>
      <c r="H3" s="14">
        <f>IFERROR(__xludf.DUMMYFUNCTION("(SUMPRODUCT(FILTER($C$2:$C$11,$A$2:$A$11&lt;=170),FILTER($C$2:$C$11,$A$2:$A$11&lt;=170))-2*$F3*SUM(FILTER($C$2:$C$11,$A$2:$A$11&lt;=170))+$G3*$F3^2)/$G3"),0.042653061224492764)</f>
        <v>0.04265306122</v>
      </c>
    </row>
    <row r="4" ht="15.75" customHeight="1">
      <c r="A4" s="2">
        <v>174.0</v>
      </c>
      <c r="B4" s="2">
        <v>61.0</v>
      </c>
      <c r="C4" s="2">
        <v>7.55</v>
      </c>
      <c r="D4" s="11"/>
      <c r="E4" s="8" t="s">
        <v>20</v>
      </c>
      <c r="F4" s="13">
        <f>AVERAGEIF(A$2:A$11,"&gt;170",C$2:C$11)</f>
        <v>7.816666667</v>
      </c>
      <c r="G4" s="9">
        <f>10-$G3</f>
        <v>3</v>
      </c>
      <c r="H4" s="14">
        <f>IFERROR(__xludf.DUMMYFUNCTION("(SUMPRODUCT(FILTER($C$2:$C$11,$A$2:$A$11&gt;170),FILTER($C$2:$C$11,$A$2:$A$11&gt;170))-2*$F4*SUM(FILTER($C$2:$C$11,$A$2:$A$11&gt;170))+$G4*$F4^2)/$G4"),0.037222222222235736)</f>
        <v>0.03722222222</v>
      </c>
    </row>
    <row r="5" ht="15.75" customHeight="1">
      <c r="A5" s="2">
        <v>168.0</v>
      </c>
      <c r="B5" s="2">
        <v>58.0</v>
      </c>
      <c r="C5" s="2">
        <v>7.6</v>
      </c>
      <c r="D5" s="11"/>
      <c r="H5" s="15">
        <f>$H$1-($H3*($G3/$G$1)+$H4*($G4/$G$1))</f>
        <v>0.4179761905</v>
      </c>
      <c r="I5" s="8" t="s">
        <v>21</v>
      </c>
    </row>
    <row r="6" ht="15.75" customHeight="1">
      <c r="A6" s="2">
        <v>169.0</v>
      </c>
      <c r="B6" s="2">
        <v>57.0</v>
      </c>
      <c r="C6" s="2">
        <v>7.65</v>
      </c>
      <c r="D6" s="11"/>
      <c r="E6" s="8" t="s">
        <v>22</v>
      </c>
      <c r="F6" s="9" t="s">
        <v>20</v>
      </c>
      <c r="G6" s="9" t="s">
        <v>23</v>
      </c>
      <c r="H6" s="12" t="s">
        <v>18</v>
      </c>
    </row>
    <row r="7" ht="15.75" customHeight="1">
      <c r="A7" s="2">
        <v>170.0</v>
      </c>
      <c r="B7" s="2">
        <v>60.0</v>
      </c>
      <c r="C7" s="2">
        <v>7.8</v>
      </c>
      <c r="D7" s="11"/>
      <c r="E7" s="8" t="s">
        <v>19</v>
      </c>
      <c r="F7" s="9">
        <f>AVERAGEIF(B$2:B$11,"&lt;=60",C$2:C$11)</f>
        <v>7.57</v>
      </c>
      <c r="G7" s="9">
        <f>COUNTIFS(B$2:B$11, "&lt;=60")</f>
        <v>5</v>
      </c>
      <c r="H7" s="9">
        <f>IFERROR(__xludf.DUMMYFUNCTION("(SUMPRODUCT(FILTER($C$2:$C$11,$B$2:$B$11&lt;=60),FILTER($C$2:$C$11,$B$2:$B$11&lt;=60))-2*$F7*SUM(FILTER($C$2:$C$11,$B$2:$B$11&lt;=60))+$G7*$F7^2)/$G7"),0.0276000000000181)</f>
        <v>0.0276</v>
      </c>
    </row>
    <row r="8" ht="15.75" customHeight="1">
      <c r="A8" s="2">
        <v>168.0</v>
      </c>
      <c r="B8" s="2">
        <v>62.0</v>
      </c>
      <c r="C8" s="2">
        <v>7.85</v>
      </c>
      <c r="D8" s="11"/>
      <c r="E8" s="8" t="s">
        <v>20</v>
      </c>
      <c r="F8" s="9">
        <f>AVERAGEIF(B$2:B$11,"&gt;60",C$2:C$11)</f>
        <v>7.85</v>
      </c>
      <c r="G8" s="9">
        <f>10-$G7</f>
        <v>5</v>
      </c>
      <c r="H8" s="14">
        <f>IFERROR(__xludf.DUMMYFUNCTION("(SUMPRODUCT(FILTER($C$2:$C$11,$B$2:$B$11&gt;60),FILTER($C$2:$C$11,$B$2:$B$11&gt;60))-2*$F8*SUM(FILTER($C$2:$C$11,$B$2:$B$11&gt;60))+$G8*$F8^2)/$G8"),0.024999999999988632)</f>
        <v>0.025</v>
      </c>
    </row>
    <row r="9" ht="15.75" customHeight="1">
      <c r="A9" s="2">
        <v>175.0</v>
      </c>
      <c r="B9" s="2">
        <v>65.0</v>
      </c>
      <c r="C9" s="2">
        <v>7.9</v>
      </c>
      <c r="D9" s="11"/>
      <c r="H9" s="16">
        <f>$H$1-($H7*($G7/$G$1)+$H8*($G8/$G$1))</f>
        <v>0.4327</v>
      </c>
      <c r="I9" s="8" t="s">
        <v>21</v>
      </c>
      <c r="J9" s="8" t="s">
        <v>24</v>
      </c>
    </row>
    <row r="10" ht="15.75" customHeight="1">
      <c r="A10" s="2">
        <v>170.0</v>
      </c>
      <c r="B10" s="2">
        <v>64.0</v>
      </c>
      <c r="C10" s="2">
        <v>7.95</v>
      </c>
      <c r="D10" s="11"/>
      <c r="E10" s="17" t="s">
        <v>25</v>
      </c>
      <c r="F10" s="18">
        <f>AVERAGEIF(B$2:B$11,"&lt;=60",C$2:C$11)</f>
        <v>7.57</v>
      </c>
      <c r="G10" s="18">
        <f>COUNTIFS(B$2:B$11, "&lt;=60")</f>
        <v>5</v>
      </c>
      <c r="H10" s="19">
        <f>0.138/$G10</f>
        <v>0.0276</v>
      </c>
    </row>
    <row r="11" ht="15.75" customHeight="1">
      <c r="A11" s="2">
        <v>180.0</v>
      </c>
      <c r="B11" s="2">
        <v>62.0</v>
      </c>
      <c r="C11" s="2">
        <v>8.0</v>
      </c>
      <c r="D11" s="11"/>
      <c r="E11" s="8" t="s">
        <v>26</v>
      </c>
      <c r="F11" s="8" t="s">
        <v>16</v>
      </c>
      <c r="G11" s="8" t="s">
        <v>17</v>
      </c>
      <c r="H11" s="12" t="s">
        <v>18</v>
      </c>
    </row>
    <row r="12" ht="15.75" customHeight="1">
      <c r="A12" s="2">
        <v>170.0</v>
      </c>
      <c r="B12" s="2">
        <v>70.0</v>
      </c>
      <c r="C12" s="5"/>
      <c r="D12" s="20"/>
      <c r="E12" s="8" t="s">
        <v>19</v>
      </c>
      <c r="F12" s="13">
        <f>SUMIFS(C$2:C$11, B$2:B$11, "&lt;=60", A$2:A$11, "&lt;=167")/$G12</f>
        <v>7.4</v>
      </c>
      <c r="G12" s="9">
        <f>COUNTIFS(B$2:B$11, "&lt;=60", A$2:A$11, "&lt;=167")</f>
        <v>2</v>
      </c>
      <c r="H12" s="14">
        <f>IFERROR(__xludf.DUMMYFUNCTION("(SUMPRODUCT(FILTER($C$2:$C$11,$A$2:$A$11&lt;=167,$B$2:$B$11&lt;=60),FILTER($C$2:$C$11,$A$2:$A$11&lt;=167,$B$2:$B$11&lt;=60))
-2*$F12*SUM(FILTER($C$2:$C$11,$A$2:$A$11&lt;=167,$B$2:$B$11&lt;=60))+$G12*$F12^2)/$G12"),0.009999999999990905)</f>
        <v>0.01</v>
      </c>
    </row>
    <row r="13" ht="15.75" customHeight="1">
      <c r="A13" s="2">
        <v>159.0</v>
      </c>
      <c r="B13" s="2">
        <v>48.0</v>
      </c>
      <c r="C13" s="5"/>
      <c r="D13" s="11"/>
      <c r="E13" s="8" t="s">
        <v>20</v>
      </c>
      <c r="F13" s="13">
        <f>SUMIFS(C$2:C$11, B$2:B$11, "&lt;=60", A$2:A$11, "&gt;167")/$G13</f>
        <v>7.683333333</v>
      </c>
      <c r="G13" s="9">
        <f>COUNTIFS(B$2:B$11, "&lt;=60", A$2:A$11, "&gt;167")</f>
        <v>3</v>
      </c>
      <c r="H13" s="14">
        <f>IFERROR(__xludf.DUMMYFUNCTION("(SUMPRODUCT(FILTER($C$2:$C$11,$A$2:$A$11&gt;167,$B$2:$B$11&lt;=60),FILTER($C$2:$C$11,$A$2:$A$11&gt;167,$B$2:$B$11&lt;=60))
-2*$F13*SUM(FILTER($C$2:$C$11,$A$2:$A$11&gt;167,$B$2:$B$11&lt;=60))+$G13*$F13^2)/$G13"),0.007222222222215653)</f>
        <v>0.007222222222</v>
      </c>
    </row>
    <row r="14" ht="15.75" customHeight="1">
      <c r="H14" s="16">
        <f>$H$10-($H12*($G12/$G$10)+$H13*($G13/$G$10))</f>
        <v>0.01926666667</v>
      </c>
      <c r="I14" s="8" t="s">
        <v>21</v>
      </c>
      <c r="J14" s="8" t="s">
        <v>24</v>
      </c>
    </row>
    <row r="15" ht="15.75" customHeight="1">
      <c r="E15" s="8" t="s">
        <v>27</v>
      </c>
      <c r="F15" s="8" t="s">
        <v>16</v>
      </c>
      <c r="G15" s="8" t="s">
        <v>17</v>
      </c>
      <c r="H15" s="12" t="s">
        <v>18</v>
      </c>
    </row>
    <row r="16" ht="15.75" customHeight="1">
      <c r="E16" s="8" t="s">
        <v>19</v>
      </c>
      <c r="F16" s="13">
        <f>SUMIFS(C$2:C$11, B$2:B$11, "&lt;=60", B$2:B$11, "&lt;=57")/$G16</f>
        <v>7.575</v>
      </c>
      <c r="G16" s="9">
        <f>COUNTIFS(B$2:B$11, "&lt;=60", B$2:B$11, "&lt;=57")</f>
        <v>2</v>
      </c>
      <c r="H16" s="14">
        <f>IFERROR(__xludf.DUMMYFUNCTION("(SUMPRODUCT(FILTER($C$2:$C$11,$B$2:$B$11&lt;=57,$B$2:$B$11&lt;=60),FILTER($C$2:$C$11,$B$2:$B$11&lt;=57,$B$2:$B$11&lt;=60))
-2*$F16*SUM(FILTER($C$2:$C$11,$B$2:$B$11&lt;=57,$B$2:$B$11&lt;=60))+$G16*$F16^2)/$G16"),0.0056250000000019895)</f>
        <v>0.005625</v>
      </c>
    </row>
    <row r="17" ht="15.75" customHeight="1">
      <c r="E17" s="8" t="s">
        <v>20</v>
      </c>
      <c r="F17" s="13">
        <f>SUMIFS(C$2:C$11, B$2:B$11, "&lt;=60", B$2:B$11, "&gt;57")/$G17</f>
        <v>7.566666667</v>
      </c>
      <c r="G17" s="9">
        <f>COUNTIFS(B$2:B$11, "&lt;=60", B$2:B$11, "&gt;57")</f>
        <v>3</v>
      </c>
      <c r="H17" s="14">
        <f>IFERROR(__xludf.DUMMYFUNCTION("(SUMPRODUCT(FILTER($C$2:$C$11,$B$2:$B$11&gt;57,$B$2:$B$11&lt;=60),FILTER($C$2:$C$11,$B$2:$B$11&gt;57,$B$2:$B$11&lt;=60))
-2*$F17*SUM(FILTER($C$2:$C$11,$B$2:$B$11&gt;57,$B$2:$B$11&lt;=60))+$G17*$F17^2)/$G17"),0.04222222222222172)</f>
        <v>0.04222222222</v>
      </c>
    </row>
    <row r="18" ht="15.75" customHeight="1">
      <c r="H18" s="16">
        <f>$H$10-($H16*($G16/$G$10)+$H17*($G17/$G$10))</f>
        <v>0.00001666666667</v>
      </c>
      <c r="I18" s="8" t="s">
        <v>21</v>
      </c>
    </row>
    <row r="19" ht="15.75" customHeight="1">
      <c r="E19" s="17" t="s">
        <v>28</v>
      </c>
      <c r="F19" s="18">
        <v>7.85</v>
      </c>
      <c r="G19" s="18">
        <v>5.0</v>
      </c>
      <c r="H19" s="19">
        <v>0.024999999999988632</v>
      </c>
    </row>
    <row r="20" ht="15.75" customHeight="1">
      <c r="E20" s="8" t="s">
        <v>29</v>
      </c>
      <c r="F20" s="8" t="s">
        <v>16</v>
      </c>
      <c r="G20" s="8" t="s">
        <v>17</v>
      </c>
      <c r="H20" s="12" t="s">
        <v>18</v>
      </c>
    </row>
    <row r="21" ht="15.75" customHeight="1">
      <c r="E21" s="8" t="s">
        <v>19</v>
      </c>
      <c r="F21" s="13">
        <f>SUMIFS(C$2:C$11, B$2:B$11, "&gt;60", A$2:A$11, "&lt;=172")/$G21</f>
        <v>7.9</v>
      </c>
      <c r="G21" s="9">
        <f>COUNTIFS(B$2:B$11, "&gt;60", A$2:A$11, "&lt;=172")</f>
        <v>2</v>
      </c>
      <c r="H21" s="14">
        <f>IFERROR(__xludf.DUMMYFUNCTION("(SUMPRODUCT(FILTER($C$2:$C$11,$A$2:$A$11&lt;=172,$B$2:$B$11&gt;60),FILTER($C$2:$C$11,$A$2:$A$11&lt;=172,$B$2:$B$11&gt;60))
-2*$F21*SUM(FILTER($C$2:$C$11,$A$2:$A$11&lt;=172,$B$2:$B$11&gt;60))+$G21*$F21^2)/$G21"),0.002499999999990621)</f>
        <v>0.0025</v>
      </c>
    </row>
    <row r="22" ht="15.75" customHeight="1">
      <c r="E22" s="8" t="s">
        <v>20</v>
      </c>
      <c r="F22" s="13">
        <f>SUMIFS(C$2:C$11, B$2:B$11, "&gt;60", A$2:A$11, "&gt;172")/$G22</f>
        <v>7.816666667</v>
      </c>
      <c r="G22" s="9">
        <f>COUNTIFS(B$2:B$11, "&gt;60", A$2:A$11, "&gt;172")</f>
        <v>3</v>
      </c>
      <c r="H22" s="14">
        <f>IFERROR(__xludf.DUMMYFUNCTION("(SUMPRODUCT(FILTER($C$2:$C$11,$A$2:$A$11&gt;172,$B$2:$B$11&gt;60),FILTER($C$2:$C$11,$A$2:$A$11&gt;172,$B$2:$B$11&gt;60))
-2*$F22*SUM(FILTER($C$2:$C$11,$A$2:$A$11&gt;172,$B$2:$B$11&gt;60))+$G22*$F22^2)/$G22"),0.037222222222235736)</f>
        <v>0.03722222222</v>
      </c>
    </row>
    <row r="23" ht="15.75" customHeight="1">
      <c r="H23" s="16">
        <f>$H$19-($H21*($G21/$G$19)+$H22*($G22/$G$19))</f>
        <v>0.001666666667</v>
      </c>
      <c r="I23" s="8" t="s">
        <v>21</v>
      </c>
    </row>
    <row r="24" ht="15.75" customHeight="1">
      <c r="E24" s="8" t="s">
        <v>30</v>
      </c>
      <c r="F24" s="8" t="s">
        <v>16</v>
      </c>
      <c r="G24" s="8" t="s">
        <v>17</v>
      </c>
      <c r="H24" s="12" t="s">
        <v>18</v>
      </c>
    </row>
    <row r="25" ht="15.75" customHeight="1">
      <c r="E25" s="8" t="s">
        <v>19</v>
      </c>
      <c r="F25" s="21">
        <f>SUMIFS(C$2:C$11, B$2:B$11, "&gt;60", B$2:B$11, "&lt;=63")/$G25</f>
        <v>7.8</v>
      </c>
      <c r="G25" s="9">
        <f>COUNTIFS(B$2:B$11, "&gt;60", B$2:B$11, "&lt;=63")</f>
        <v>3</v>
      </c>
      <c r="H25" s="14">
        <f>IFERROR(__xludf.DUMMYFUNCTION("(SUMPRODUCT(FILTER($C$2:$C$11,$B$2:$B$11&gt;60,$B$2:$B$11&lt;=63),FILTER($C$2:$C$11,$B$2:$B$11&gt;60,$B$2:$B$11&lt;=63))
-2*$F25*SUM(FILTER($C$2:$C$11,$B$2:$B$11&gt;60,$B$2:$B$11&lt;=63))+$G25*$F25^2)/$G25"),0.03500000000000606)</f>
        <v>0.035</v>
      </c>
    </row>
    <row r="26" ht="15.75" customHeight="1">
      <c r="E26" s="8" t="s">
        <v>20</v>
      </c>
      <c r="F26" s="13">
        <f>SUMIFS(C$2:C$11, B$2:B$11, "&gt;60", B$2:B$11, "&gt;63")/$G26</f>
        <v>7.925</v>
      </c>
      <c r="G26" s="9">
        <f>COUNTIFS(B$2:B$11, "&gt;60", B$2:B$11, "&gt;63")</f>
        <v>2</v>
      </c>
      <c r="H26" s="14">
        <f>IFERROR(__xludf.DUMMYFUNCTION("(SUMPRODUCT(FILTER($C$2:$C$11,$B$2:$B$11&gt;60,$B$2:$B$11&gt;63),FILTER($C$2:$C$11,$B$2:$B$11&gt;60,$B$2:$B$11&gt;63))
-2*$F26*SUM(FILTER($C$2:$C$11,$B$2:$B$11&gt;60,$B$2:$B$11&gt;63))+$G26*$F26^2)/$G26"),6.249999999923261E-4)</f>
        <v>0.000625</v>
      </c>
    </row>
    <row r="27" ht="15.75" customHeight="1">
      <c r="H27" s="16">
        <f>$H$19-($H25*($G25/$G$19)+$H26*($G26/$G$19))</f>
        <v>0.00375</v>
      </c>
      <c r="I27" s="8" t="s">
        <v>21</v>
      </c>
      <c r="J27" s="8" t="s">
        <v>24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9.33"/>
    <col customWidth="1" min="3" max="3" width="9.56"/>
    <col customWidth="1" min="4" max="4" width="10.56"/>
    <col customWidth="1" min="5" max="5" width="16.67"/>
    <col customWidth="1" min="6" max="8" width="10.56"/>
    <col customWidth="1" min="9" max="9" width="14.78"/>
    <col customWidth="1" min="10" max="10" width="23.56"/>
    <col customWidth="1" min="11" max="17" width="10.56"/>
  </cols>
  <sheetData>
    <row r="1" ht="15.75" customHeight="1">
      <c r="A1" s="2" t="s">
        <v>11</v>
      </c>
      <c r="B1" s="2" t="s">
        <v>12</v>
      </c>
      <c r="C1" s="2" t="s">
        <v>13</v>
      </c>
      <c r="E1" s="8" t="s">
        <v>31</v>
      </c>
      <c r="F1" s="8">
        <v>160.0</v>
      </c>
      <c r="G1" s="8" t="s">
        <v>16</v>
      </c>
      <c r="H1" s="8" t="s">
        <v>17</v>
      </c>
      <c r="I1" s="12" t="s">
        <v>18</v>
      </c>
    </row>
    <row r="2" ht="15.75" customHeight="1">
      <c r="A2" s="2">
        <v>160.0</v>
      </c>
      <c r="B2" s="2">
        <v>59.0</v>
      </c>
      <c r="C2" s="2">
        <v>7.3</v>
      </c>
      <c r="D2" s="11"/>
      <c r="F2" s="8" t="s">
        <v>19</v>
      </c>
      <c r="G2" s="13">
        <f>AVERAGEIF(A$2:A$11,"&lt;="&amp;F1,C$2:C$11)</f>
        <v>7.3</v>
      </c>
      <c r="H2" s="9">
        <f>COUNTIFS(A$2:A$11, "&lt;="&amp;F1)</f>
        <v>1</v>
      </c>
      <c r="I2" s="14">
        <f>IFERROR(__xludf.DUMMYFUNCTION("(SUMPRODUCT(FILTER($C$2:$C$11,$A$2:$A$11&lt;=F1),FILTER($C$2:$C$11,$A$2:$A$11&lt;=F1))-2*$G2*SUM(FILTER($C$2:$C$11,$A$2:$A$11&lt;=F1))+$H2*$G2^2)"),0.0)</f>
        <v>0</v>
      </c>
    </row>
    <row r="3" ht="15.75" customHeight="1">
      <c r="A3" s="2">
        <v>165.0</v>
      </c>
      <c r="B3" s="2">
        <v>55.0</v>
      </c>
      <c r="C3" s="2">
        <v>7.5</v>
      </c>
      <c r="D3" s="11"/>
      <c r="F3" s="8" t="s">
        <v>20</v>
      </c>
      <c r="G3" s="13">
        <f>AVERAGEIF(A$2:A$11,"&gt;"&amp;F1,C$2:C$11)</f>
        <v>7.755555556</v>
      </c>
      <c r="H3" s="9">
        <f>10-$H2</f>
        <v>9</v>
      </c>
      <c r="I3" s="14">
        <f>IFERROR(__xludf.DUMMYFUNCTION("(SUMPRODUCT(FILTER($C$2:$C$11,$A$2:$A$11&gt;F1),FILTER($C$2:$C$11,$A$2:$A$11&gt;F1))-2*$G3*SUM(FILTER($C$2:$C$11,$A$2:$A$11&gt;F1))+$H3*$G3^2)"),0.2722222222222399)</f>
        <v>0.2722222222</v>
      </c>
    </row>
    <row r="4" ht="15.75" customHeight="1">
      <c r="A4" s="2">
        <v>168.0</v>
      </c>
      <c r="B4" s="2">
        <v>58.0</v>
      </c>
      <c r="C4" s="2">
        <v>7.6</v>
      </c>
      <c r="D4" s="11"/>
      <c r="I4" s="15">
        <f>SUM(I2:I3)</f>
        <v>0.2722222222</v>
      </c>
      <c r="J4" s="8" t="s">
        <v>32</v>
      </c>
    </row>
    <row r="5" ht="15.75" customHeight="1">
      <c r="A5" s="2">
        <v>168.0</v>
      </c>
      <c r="B5" s="2">
        <v>62.0</v>
      </c>
      <c r="C5" s="2">
        <v>7.85</v>
      </c>
      <c r="D5" s="11"/>
      <c r="F5" s="8">
        <v>165.0</v>
      </c>
      <c r="I5" s="12" t="s">
        <v>18</v>
      </c>
    </row>
    <row r="6" ht="15.75" customHeight="1">
      <c r="A6" s="2">
        <v>169.0</v>
      </c>
      <c r="B6" s="2">
        <v>57.0</v>
      </c>
      <c r="C6" s="2">
        <v>7.65</v>
      </c>
      <c r="D6" s="11"/>
      <c r="F6" s="8" t="s">
        <v>19</v>
      </c>
      <c r="G6" s="13">
        <f>AVERAGEIF(A$2:A$11,"&lt;="&amp;F5,C$2:C$11)</f>
        <v>7.4</v>
      </c>
      <c r="H6" s="9">
        <f>COUNTIFS(A$2:A$11, "&lt;="&amp;F5)</f>
        <v>2</v>
      </c>
      <c r="I6" s="14">
        <f>IFERROR(__xludf.DUMMYFUNCTION("(SUMPRODUCT(FILTER($C$2:$C$11,$A$2:$A$11&lt;=F5),FILTER($C$2:$C$11,$A$2:$A$11&lt;=F5))-2*$G6*SUM(FILTER($C$2:$C$11,$A$2:$A$11&lt;=F5))+$H6*$G6^2)"),0.01999999999998181)</f>
        <v>0.02</v>
      </c>
    </row>
    <row r="7" ht="15.75" customHeight="1">
      <c r="A7" s="2">
        <v>170.0</v>
      </c>
      <c r="B7" s="2">
        <v>60.0</v>
      </c>
      <c r="C7" s="2">
        <v>7.8</v>
      </c>
      <c r="D7" s="11"/>
      <c r="F7" s="8" t="s">
        <v>20</v>
      </c>
      <c r="G7" s="13">
        <f>AVERAGEIF(A$2:A$11,"&gt;"&amp;F5,C$2:C$11)</f>
        <v>7.7875</v>
      </c>
      <c r="H7" s="9">
        <f>10-$H6</f>
        <v>8</v>
      </c>
      <c r="I7" s="14">
        <f>IFERROR(__xludf.DUMMYFUNCTION("(SUMPRODUCT(FILTER($C$2:$C$11,$A$2:$A$11&gt;F5),FILTER($C$2:$C$11,$A$2:$A$11&gt;F5))-2*$G7*SUM(FILTER($C$2:$C$11,$A$2:$A$11&gt;F5))+$H7*$G7^2)"),0.19875000000007503)</f>
        <v>0.19875</v>
      </c>
    </row>
    <row r="8" ht="15.75" customHeight="1">
      <c r="A8" s="2">
        <v>170.0</v>
      </c>
      <c r="B8" s="2">
        <v>64.0</v>
      </c>
      <c r="C8" s="2">
        <v>7.95</v>
      </c>
      <c r="D8" s="11"/>
      <c r="I8" s="22">
        <f>SUM(I6:I7)</f>
        <v>0.21875</v>
      </c>
      <c r="J8" s="8" t="s">
        <v>32</v>
      </c>
    </row>
    <row r="9" ht="15.75" customHeight="1">
      <c r="A9" s="2">
        <v>174.0</v>
      </c>
      <c r="B9" s="2">
        <v>61.0</v>
      </c>
      <c r="C9" s="2">
        <v>7.55</v>
      </c>
      <c r="D9" s="11"/>
      <c r="F9" s="23">
        <v>168.0</v>
      </c>
      <c r="I9" s="12" t="s">
        <v>18</v>
      </c>
      <c r="J9" s="24"/>
    </row>
    <row r="10" ht="15.75" customHeight="1">
      <c r="A10" s="2">
        <v>175.0</v>
      </c>
      <c r="B10" s="2">
        <v>65.0</v>
      </c>
      <c r="C10" s="2">
        <v>7.9</v>
      </c>
      <c r="D10" s="11"/>
      <c r="F10" s="23" t="s">
        <v>19</v>
      </c>
      <c r="G10" s="13">
        <f>AVERAGEIF(A$2:A$11,"&lt;="&amp;F9,C$2:C$11)</f>
        <v>7.5625</v>
      </c>
      <c r="H10" s="9">
        <f>COUNTIFS(A$2:A$11, "&lt;="&amp;F9)</f>
        <v>4</v>
      </c>
      <c r="I10" s="14">
        <f>IFERROR(__xludf.DUMMYFUNCTION("(SUMPRODUCT(FILTER($C$2:$C$11,$A$2:$A$11&lt;=F9),FILTER($C$2:$C$11,$A$2:$A$11&lt;=F9))-2*$G10*SUM(FILTER($C$2:$C$11,$A$2:$A$11&lt;=F9))+$H10*$G10^2)"),0.15687499999998522)</f>
        <v>0.156875</v>
      </c>
    </row>
    <row r="11" ht="15.75" customHeight="1">
      <c r="A11" s="2">
        <v>180.0</v>
      </c>
      <c r="B11" s="2">
        <v>62.0</v>
      </c>
      <c r="C11" s="2">
        <v>8.0</v>
      </c>
      <c r="D11" s="11"/>
      <c r="F11" s="23" t="s">
        <v>20</v>
      </c>
      <c r="G11" s="13">
        <f>AVERAGEIF(A$2:A$11,"&gt;"&amp;F9,C$2:C$11)</f>
        <v>7.808333333</v>
      </c>
      <c r="H11" s="9">
        <f>10-$H10</f>
        <v>6</v>
      </c>
      <c r="I11" s="14">
        <f>IFERROR(__xludf.DUMMYFUNCTION("(SUMPRODUCT(FILTER($C$2:$C$11,$A$2:$A$11&gt;F9),FILTER($C$2:$C$11,$A$2:$A$11&gt;F9))-2*$G11*SUM(FILTER($C$2:$C$11,$A$2:$A$11&gt;F9))+$H11*$G11^2)"),0.15708333333333258)</f>
        <v>0.1570833333</v>
      </c>
    </row>
    <row r="12" ht="15.75" customHeight="1">
      <c r="A12" s="25">
        <v>170.0</v>
      </c>
      <c r="B12" s="25">
        <v>70.0</v>
      </c>
      <c r="C12" s="26"/>
      <c r="D12" s="20"/>
      <c r="F12" s="24"/>
      <c r="I12" s="15">
        <f>SUM(I10:I11)</f>
        <v>0.3139583333</v>
      </c>
      <c r="J12" s="8" t="s">
        <v>32</v>
      </c>
    </row>
    <row r="13" ht="15.75" customHeight="1">
      <c r="A13" s="27"/>
      <c r="B13" s="27"/>
      <c r="C13" s="28"/>
      <c r="D13" s="11"/>
      <c r="F13" s="23">
        <v>169.0</v>
      </c>
      <c r="I13" s="12" t="s">
        <v>18</v>
      </c>
      <c r="J13" s="24"/>
    </row>
    <row r="14" ht="15.75" customHeight="1">
      <c r="F14" s="23" t="s">
        <v>19</v>
      </c>
      <c r="G14" s="13">
        <f>AVERAGEIF(A$2:A$11,"&lt;="&amp;F13,C$2:C$11)</f>
        <v>7.58</v>
      </c>
      <c r="H14" s="9">
        <f>COUNTIFS(A$2:A$11, "&lt;="&amp;F13)</f>
        <v>5</v>
      </c>
      <c r="I14" s="14">
        <f>IFERROR(__xludf.DUMMYFUNCTION("(SUMPRODUCT(FILTER($C$2:$C$11,$A$2:$A$11&lt;=F13),FILTER($C$2:$C$11,$A$2:$A$11&lt;=F13))-2*$G14*SUM(FILTER($C$2:$C$11,$A$2:$A$11&lt;=F13))+$H14*$G14^2)"),0.16300000000006776)</f>
        <v>0.163</v>
      </c>
    </row>
    <row r="15" ht="15.75" customHeight="1">
      <c r="F15" s="23" t="s">
        <v>20</v>
      </c>
      <c r="G15" s="13">
        <f>AVERAGEIF(A$2:A$11,"&gt;"&amp;F13,C$2:C$11)</f>
        <v>7.84</v>
      </c>
      <c r="H15" s="9">
        <f>10-$H14</f>
        <v>5</v>
      </c>
      <c r="I15" s="14">
        <f>IFERROR(__xludf.DUMMYFUNCTION("(SUMPRODUCT(FILTER($C$2:$C$11,$A$2:$A$11&gt;F13),FILTER($C$2:$C$11,$A$2:$A$11&gt;F13))-2*$G15*SUM(FILTER($C$2:$C$11,$A$2:$A$11&gt;F13))+$H15*$G15^2)"),0.1269999999999527)</f>
        <v>0.127</v>
      </c>
    </row>
    <row r="16" ht="15.75" customHeight="1">
      <c r="F16" s="24"/>
      <c r="I16" s="15">
        <f>SUM(I14:I15)</f>
        <v>0.29</v>
      </c>
      <c r="J16" s="8" t="s">
        <v>32</v>
      </c>
    </row>
    <row r="17" ht="15.75" customHeight="1">
      <c r="F17" s="23">
        <v>170.0</v>
      </c>
      <c r="I17" s="12" t="s">
        <v>18</v>
      </c>
      <c r="J17" s="24"/>
    </row>
    <row r="18" ht="15.75" customHeight="1">
      <c r="F18" s="23" t="s">
        <v>19</v>
      </c>
      <c r="G18" s="13">
        <f>AVERAGEIF(A$2:A$11,"&lt;="&amp;F17,C$2:C$11)</f>
        <v>7.664285714</v>
      </c>
      <c r="H18" s="9">
        <f>COUNTIFS(A$2:A$11, "&lt;="&amp;F17)</f>
        <v>7</v>
      </c>
      <c r="I18" s="14">
        <f>IFERROR(__xludf.DUMMYFUNCTION("(SUMPRODUCT(FILTER($C$2:$C$11,$A$2:$A$11&lt;=F17),FILTER($C$2:$C$11,$A$2:$A$11&lt;=F17))-2*$G18*SUM(FILTER($C$2:$C$11,$A$2:$A$11&lt;=F17))+$H18*$G18^2)"),0.29857142857144936)</f>
        <v>0.2985714286</v>
      </c>
    </row>
    <row r="19" ht="15.75" customHeight="1">
      <c r="F19" s="23" t="s">
        <v>20</v>
      </c>
      <c r="G19" s="13">
        <f>AVERAGEIF(A$2:A$11,"&gt;"&amp;F17,C$2:C$11)</f>
        <v>7.816666667</v>
      </c>
      <c r="H19" s="9">
        <f>10-$H18</f>
        <v>3</v>
      </c>
      <c r="I19" s="14">
        <f>IFERROR(__xludf.DUMMYFUNCTION("(SUMPRODUCT(FILTER($C$2:$C$11,$A$2:$A$11&gt;F17),FILTER($C$2:$C$11,$A$2:$A$11&gt;F17))-2*$G19*SUM(FILTER($C$2:$C$11,$A$2:$A$11&gt;F17))+$H19*$G19^2)"),0.11166666666670721)</f>
        <v>0.1116666667</v>
      </c>
    </row>
    <row r="20" ht="15.75" customHeight="1">
      <c r="F20" s="24"/>
      <c r="I20" s="15">
        <f>SUM(I18:I19)</f>
        <v>0.4102380952</v>
      </c>
      <c r="J20" s="8" t="s">
        <v>32</v>
      </c>
    </row>
    <row r="21" ht="15.75" customHeight="1">
      <c r="F21" s="23">
        <v>174.0</v>
      </c>
      <c r="I21" s="12" t="s">
        <v>18</v>
      </c>
      <c r="J21" s="24"/>
    </row>
    <row r="22" ht="15.75" customHeight="1">
      <c r="F22" s="23" t="s">
        <v>19</v>
      </c>
      <c r="G22" s="13">
        <f>AVERAGEIF(A$2:A$11,"&lt;="&amp;F21,C$2:C$11)</f>
        <v>7.65</v>
      </c>
      <c r="H22" s="9">
        <f>COUNTIFS(A$2:A$11, "&lt;="&amp;F21)</f>
        <v>8</v>
      </c>
      <c r="I22" s="14">
        <f>IFERROR(__xludf.DUMMYFUNCTION("(SUMPRODUCT(FILTER($C$2:$C$11,$A$2:$A$11&lt;=F21),FILTER($C$2:$C$11,$A$2:$A$11&lt;=F21))-2*$G22*SUM(FILTER($C$2:$C$11,$A$2:$A$11&lt;=F21))+$H22*$G22^2)"),0.3100000000000023)</f>
        <v>0.31</v>
      </c>
    </row>
    <row r="23" ht="15.75" customHeight="1">
      <c r="F23" s="23" t="s">
        <v>20</v>
      </c>
      <c r="G23" s="13">
        <f>AVERAGEIF(A$2:A$11,"&gt;"&amp;F21,C$2:C$11)</f>
        <v>7.95</v>
      </c>
      <c r="H23" s="9">
        <f>10-$H22</f>
        <v>2</v>
      </c>
      <c r="I23" s="14">
        <f>IFERROR(__xludf.DUMMYFUNCTION("(SUMPRODUCT(FILTER($C$2:$C$11,$A$2:$A$11&gt;F21),FILTER($C$2:$C$11,$A$2:$A$11&gt;F21))-2*$G23*SUM(FILTER($C$2:$C$11,$A$2:$A$11&gt;F21))+$H23*$G23^2)"),0.0049999999999954525)</f>
        <v>0.005</v>
      </c>
    </row>
    <row r="24" ht="15.75" customHeight="1">
      <c r="F24" s="24"/>
      <c r="I24" s="15">
        <f>SUM(I22:I23)</f>
        <v>0.315</v>
      </c>
      <c r="J24" s="8" t="s">
        <v>32</v>
      </c>
    </row>
    <row r="25" ht="15.75" customHeight="1">
      <c r="F25" s="23">
        <v>175.0</v>
      </c>
      <c r="I25" s="12" t="s">
        <v>18</v>
      </c>
      <c r="J25" s="24"/>
    </row>
    <row r="26" ht="15.75" customHeight="1">
      <c r="F26" s="23" t="s">
        <v>19</v>
      </c>
      <c r="G26" s="13">
        <f>AVERAGEIF(A$2:A$11,"&lt;="&amp;F25,C$2:C$11)</f>
        <v>7.677777778</v>
      </c>
      <c r="H26" s="9">
        <f>COUNTIFS(A$2:A$11, "&lt;="&amp;F25)</f>
        <v>9</v>
      </c>
      <c r="I26" s="14">
        <f>IFERROR(__xludf.DUMMYFUNCTION("(SUMPRODUCT(FILTER($C$2:$C$11,$A$2:$A$11&lt;=F25),FILTER($C$2:$C$11,$A$2:$A$11&lt;=F25))-2*$G26*SUM(FILTER($C$2:$C$11,$A$2:$A$11&lt;=F25))+$H26*$G26^2)"),0.36555555555560204)</f>
        <v>0.3655555556</v>
      </c>
    </row>
    <row r="27" ht="15.75" customHeight="1">
      <c r="F27" s="23" t="s">
        <v>20</v>
      </c>
      <c r="G27" s="13">
        <f>AVERAGEIF(A$2:A$11,"&gt;"&amp;F25,C$2:C$11)</f>
        <v>8</v>
      </c>
      <c r="H27" s="9">
        <f>10-$H26</f>
        <v>1</v>
      </c>
      <c r="I27" s="14">
        <f>IFERROR(__xludf.DUMMYFUNCTION("(SUMPRODUCT(FILTER($C$2:$C$11,$A$2:$A$11&gt;F25),FILTER($C$2:$C$11,$A$2:$A$11&gt;F25))-2*$G27*SUM(FILTER($C$2:$C$11,$A$2:$A$11&gt;F25))+$H27*$G27^2)"),0.0)</f>
        <v>0</v>
      </c>
    </row>
    <row r="28" ht="15.75" customHeight="1">
      <c r="F28" s="24"/>
      <c r="I28" s="15">
        <f>SUM(I26:I27)</f>
        <v>0.3655555556</v>
      </c>
      <c r="J28" s="8" t="s">
        <v>32</v>
      </c>
    </row>
    <row r="29" ht="15.75" customHeight="1">
      <c r="F29" s="8"/>
      <c r="I29" s="12"/>
    </row>
    <row r="30" ht="15.75" customHeight="1">
      <c r="F30" s="8"/>
      <c r="G30" s="13"/>
      <c r="I30" s="14"/>
    </row>
    <row r="31" ht="15.75" customHeight="1">
      <c r="F31" s="8"/>
      <c r="G31" s="13"/>
      <c r="I31" s="14"/>
    </row>
    <row r="32" ht="15.75" customHeight="1">
      <c r="I32" s="2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9.33"/>
    <col customWidth="1" min="3" max="3" width="9.56"/>
    <col customWidth="1" min="4" max="4" width="10.56"/>
    <col customWidth="1" min="5" max="5" width="16.67"/>
    <col customWidth="1" min="6" max="8" width="10.56"/>
    <col customWidth="1" min="9" max="9" width="14.78"/>
    <col customWidth="1" min="10" max="10" width="23.56"/>
    <col customWidth="1" min="11" max="17" width="10.56"/>
  </cols>
  <sheetData>
    <row r="1" ht="15.75" customHeight="1">
      <c r="A1" s="2" t="s">
        <v>11</v>
      </c>
      <c r="B1" s="2" t="s">
        <v>12</v>
      </c>
      <c r="C1" s="2" t="s">
        <v>13</v>
      </c>
      <c r="E1" s="8" t="s">
        <v>33</v>
      </c>
      <c r="F1" s="8">
        <v>55.0</v>
      </c>
      <c r="G1" s="8" t="s">
        <v>16</v>
      </c>
      <c r="H1" s="8" t="s">
        <v>17</v>
      </c>
      <c r="I1" s="12" t="s">
        <v>18</v>
      </c>
    </row>
    <row r="2" ht="15.75" customHeight="1">
      <c r="A2" s="2">
        <v>165.0</v>
      </c>
      <c r="B2" s="2">
        <v>55.0</v>
      </c>
      <c r="C2" s="2">
        <v>7.5</v>
      </c>
      <c r="D2" s="11"/>
      <c r="F2" s="8" t="s">
        <v>19</v>
      </c>
      <c r="G2" s="13">
        <f>AVERAGEIF(B$2:B$11,"&lt;="&amp;F1,C$2:C$11)</f>
        <v>7.5</v>
      </c>
      <c r="H2" s="9">
        <f>COUNTIFS(B$2:B$11, "&lt;="&amp;F1)</f>
        <v>1</v>
      </c>
      <c r="I2" s="14">
        <f>IFERROR(__xludf.DUMMYFUNCTION("(SUMPRODUCT(FILTER($C$2:$C$11,$B$2:$B$11&lt;=F1),FILTER($C$2:$C$11,$B$2:$B$11&lt;=F1))-2*$G2*SUM(FILTER($C$2:$C$11,$B$2:$B$11&lt;=F1))+$H2*$G2^2)"),0.0)</f>
        <v>0</v>
      </c>
    </row>
    <row r="3" ht="15.75" customHeight="1">
      <c r="A3" s="2">
        <v>169.0</v>
      </c>
      <c r="B3" s="2">
        <v>57.0</v>
      </c>
      <c r="C3" s="2">
        <v>7.65</v>
      </c>
      <c r="D3" s="11"/>
      <c r="F3" s="8" t="s">
        <v>20</v>
      </c>
      <c r="G3" s="13">
        <f>AVERAGEIF(B$2:B$11,"&gt;"&amp;F1,C$2:C$11)</f>
        <v>7.733333333</v>
      </c>
      <c r="H3" s="9">
        <f>10-$H2</f>
        <v>9</v>
      </c>
      <c r="I3" s="14">
        <f>IFERROR(__xludf.DUMMYFUNCTION("(SUMPRODUCT(FILTER($C$2:$C$11,$B$2:$B$11&gt;F1),FILTER($C$2:$C$11,$B$2:$B$11&gt;F1))-2*$G3*SUM(FILTER($C$2:$C$11,$B$2:$B$11&gt;F1))+$H3*$G3^2)"),0.4099999999998545)</f>
        <v>0.41</v>
      </c>
    </row>
    <row r="4" ht="15.75" customHeight="1">
      <c r="A4" s="2">
        <v>168.0</v>
      </c>
      <c r="B4" s="2">
        <v>58.0</v>
      </c>
      <c r="C4" s="2">
        <v>7.6</v>
      </c>
      <c r="D4" s="11"/>
      <c r="I4" s="16">
        <f>SUM(I2:I3)</f>
        <v>0.41</v>
      </c>
      <c r="J4" s="8" t="s">
        <v>32</v>
      </c>
    </row>
    <row r="5" ht="15.75" customHeight="1">
      <c r="A5" s="2">
        <v>160.0</v>
      </c>
      <c r="B5" s="2">
        <v>59.0</v>
      </c>
      <c r="C5" s="2">
        <v>7.3</v>
      </c>
      <c r="D5" s="11"/>
      <c r="F5" s="8">
        <v>57.0</v>
      </c>
      <c r="G5" s="8" t="s">
        <v>16</v>
      </c>
      <c r="H5" s="8" t="s">
        <v>17</v>
      </c>
      <c r="I5" s="12" t="s">
        <v>18</v>
      </c>
    </row>
    <row r="6" ht="15.75" customHeight="1">
      <c r="A6" s="2">
        <v>170.0</v>
      </c>
      <c r="B6" s="2">
        <v>60.0</v>
      </c>
      <c r="C6" s="2">
        <v>7.8</v>
      </c>
      <c r="D6" s="11"/>
      <c r="F6" s="8" t="s">
        <v>19</v>
      </c>
      <c r="G6" s="13">
        <f>AVERAGEIF(B$2:B$11,"&lt;="&amp;F5,C$2:C$11)</f>
        <v>7.575</v>
      </c>
      <c r="H6" s="9">
        <f>COUNTIFS(B$2:B$11, "&lt;="&amp;F5)</f>
        <v>2</v>
      </c>
      <c r="I6" s="14">
        <f>IFERROR(__xludf.DUMMYFUNCTION("(SUMPRODUCT(FILTER($C$2:$C$11,$B$2:$B$11&lt;=F5),FILTER($C$2:$C$11,$B$2:$B$11&lt;=F5))-2*$G6*SUM(FILTER($C$2:$C$11,$B$2:$B$11&lt;=F5))+$H6*$G6^2)"),0.011250000000003979)</f>
        <v>0.01125</v>
      </c>
    </row>
    <row r="7" ht="15.75" customHeight="1">
      <c r="A7" s="2">
        <v>174.0</v>
      </c>
      <c r="B7" s="2">
        <v>61.0</v>
      </c>
      <c r="C7" s="2">
        <v>7.55</v>
      </c>
      <c r="D7" s="11"/>
      <c r="F7" s="8" t="s">
        <v>20</v>
      </c>
      <c r="G7" s="13">
        <f>AVERAGEIF(B$2:B$11,"&gt;"&amp;F5,C$2:C$11)</f>
        <v>7.74375</v>
      </c>
      <c r="H7" s="9">
        <f>10-$H6</f>
        <v>8</v>
      </c>
      <c r="I7" s="14">
        <f>IFERROR(__xludf.DUMMYFUNCTION("(SUMPRODUCT(FILTER($C$2:$C$11,$B$2:$B$11&gt;F5),FILTER($C$2:$C$11,$B$2:$B$11&gt;F5))-2*$G7*SUM(FILTER($C$2:$C$11,$B$2:$B$11&gt;F5))+$H7*$G7^2)"),0.40218749999996817)</f>
        <v>0.4021875</v>
      </c>
    </row>
    <row r="8" ht="15.75" customHeight="1">
      <c r="A8" s="2">
        <v>168.0</v>
      </c>
      <c r="B8" s="2">
        <v>62.0</v>
      </c>
      <c r="C8" s="2">
        <v>7.85</v>
      </c>
      <c r="D8" s="11"/>
      <c r="I8" s="16">
        <f>SUM(I6:I7)</f>
        <v>0.4134375</v>
      </c>
      <c r="J8" s="8" t="s">
        <v>32</v>
      </c>
    </row>
    <row r="9" ht="15.75" customHeight="1">
      <c r="A9" s="2">
        <v>180.0</v>
      </c>
      <c r="B9" s="2">
        <v>62.0</v>
      </c>
      <c r="C9" s="2">
        <v>8.0</v>
      </c>
      <c r="D9" s="11"/>
      <c r="F9" s="8">
        <v>58.0</v>
      </c>
      <c r="G9" s="8" t="s">
        <v>16</v>
      </c>
      <c r="H9" s="8" t="s">
        <v>17</v>
      </c>
      <c r="I9" s="12" t="s">
        <v>18</v>
      </c>
    </row>
    <row r="10" ht="15.75" customHeight="1">
      <c r="A10" s="2">
        <v>170.0</v>
      </c>
      <c r="B10" s="2">
        <v>64.0</v>
      </c>
      <c r="C10" s="2">
        <v>7.95</v>
      </c>
      <c r="D10" s="11"/>
      <c r="E10" s="8"/>
      <c r="F10" s="8" t="s">
        <v>19</v>
      </c>
      <c r="G10" s="13">
        <f>AVERAGEIF(B$2:B$11,"&lt;="&amp;F9,C$2:C$11)</f>
        <v>7.583333333</v>
      </c>
      <c r="H10" s="9">
        <f>COUNTIFS(B$2:B$11, "&lt;="&amp;F9)</f>
        <v>3</v>
      </c>
      <c r="I10" s="14">
        <f>IFERROR(__xludf.DUMMYFUNCTION("(SUMPRODUCT(FILTER($C$2:$C$11,$B$2:$B$11&lt;=F9),FILTER($C$2:$C$11,$B$2:$B$11&lt;=F9))-2*$G10*SUM(FILTER($C$2:$C$11,$B$2:$B$11&lt;=F9))+$H10*$G10^2)"),0.011666666666684478)</f>
        <v>0.01166666667</v>
      </c>
    </row>
    <row r="11" ht="15.75" customHeight="1">
      <c r="A11" s="2">
        <v>175.0</v>
      </c>
      <c r="B11" s="2">
        <v>65.0</v>
      </c>
      <c r="C11" s="2">
        <v>7.9</v>
      </c>
      <c r="D11" s="11"/>
      <c r="F11" s="8" t="s">
        <v>20</v>
      </c>
      <c r="G11" s="13">
        <f>AVERAGEIF(B$2:B$11,"&gt;"&amp;F9,C$2:C$11)</f>
        <v>7.764285714</v>
      </c>
      <c r="H11" s="9">
        <f>10-$H10</f>
        <v>7</v>
      </c>
      <c r="I11" s="14">
        <f>IFERROR(__xludf.DUMMYFUNCTION("(SUMPRODUCT(FILTER($C$2:$C$11,$B$2:$B$11&gt;F9),FILTER($C$2:$C$11,$B$2:$B$11&gt;F9))-2*$G11*SUM(FILTER($C$2:$C$11,$B$2:$B$11&gt;F9))+$H11*$G11^2)"),0.37857142857143344)</f>
        <v>0.3785714286</v>
      </c>
    </row>
    <row r="12" ht="15.75" customHeight="1">
      <c r="A12" s="2">
        <v>170.0</v>
      </c>
      <c r="B12" s="2">
        <v>70.0</v>
      </c>
      <c r="C12" s="5"/>
      <c r="D12" s="20"/>
      <c r="I12" s="16">
        <f>SUM(I10:I11)</f>
        <v>0.3902380952</v>
      </c>
      <c r="J12" s="8" t="s">
        <v>32</v>
      </c>
    </row>
    <row r="13" ht="15.75" customHeight="1">
      <c r="A13" s="30"/>
      <c r="B13" s="30"/>
      <c r="C13" s="31"/>
      <c r="D13" s="11"/>
      <c r="F13" s="8">
        <v>59.0</v>
      </c>
      <c r="G13" s="8" t="s">
        <v>16</v>
      </c>
      <c r="H13" s="8" t="s">
        <v>17</v>
      </c>
      <c r="I13" s="12" t="s">
        <v>18</v>
      </c>
    </row>
    <row r="14" ht="15.75" customHeight="1">
      <c r="F14" s="8" t="s">
        <v>19</v>
      </c>
      <c r="G14" s="13">
        <f>AVERAGEIF(B$2:B$11,"&lt;="&amp;F13,C$2:C$11)</f>
        <v>7.5125</v>
      </c>
      <c r="H14" s="9">
        <f>COUNTIFS(B$2:B$11, "&lt;="&amp;F13)</f>
        <v>4</v>
      </c>
      <c r="I14" s="14">
        <f>IFERROR(__xludf.DUMMYFUNCTION("(SUMPRODUCT(FILTER($C$2:$C$11,$B$2:$B$11&lt;=F13),FILTER($C$2:$C$11,$B$2:$B$11&lt;=F13))-2*$G14*SUM(FILTER($C$2:$C$11,$B$2:$B$11&lt;=F13))+$H14*$G14^2)"),0.07187499999997726)</f>
        <v>0.071875</v>
      </c>
    </row>
    <row r="15" ht="15.75" customHeight="1">
      <c r="F15" s="8" t="s">
        <v>20</v>
      </c>
      <c r="G15" s="13">
        <f>AVERAGEIF(B$2:B$11,"&gt;"&amp;F13,C$2:C$11)</f>
        <v>7.841666667</v>
      </c>
      <c r="H15" s="9">
        <f>10-$H14</f>
        <v>6</v>
      </c>
      <c r="I15" s="14">
        <f>IFERROR(__xludf.DUMMYFUNCTION("(SUMPRODUCT(FILTER($C$2:$C$11,$B$2:$B$11&gt;F13),FILTER($C$2:$C$11,$B$2:$B$11&gt;F13))-2*$G15*SUM(FILTER($C$2:$C$11,$B$2:$B$11&gt;F13))+$H15*$G15^2)"),0.1270833333334167)</f>
        <v>0.1270833333</v>
      </c>
    </row>
    <row r="16" ht="15.75" customHeight="1">
      <c r="I16" s="16">
        <f>SUM(I14:I15)</f>
        <v>0.1989583333</v>
      </c>
      <c r="J16" s="8" t="s">
        <v>32</v>
      </c>
    </row>
    <row r="17" ht="15.75" customHeight="1">
      <c r="F17" s="8">
        <v>60.0</v>
      </c>
      <c r="G17" s="8" t="s">
        <v>16</v>
      </c>
      <c r="H17" s="8" t="s">
        <v>17</v>
      </c>
      <c r="I17" s="12" t="s">
        <v>18</v>
      </c>
    </row>
    <row r="18" ht="15.75" customHeight="1">
      <c r="F18" s="8" t="s">
        <v>19</v>
      </c>
      <c r="G18" s="13">
        <f>AVERAGEIF(B$2:B$11,"&lt;="&amp;F17,C$2:C$11)</f>
        <v>7.57</v>
      </c>
      <c r="H18" s="9">
        <f>COUNTIFS(B$2:B$11, "&lt;="&amp;F17)</f>
        <v>5</v>
      </c>
      <c r="I18" s="14">
        <f>IFERROR(__xludf.DUMMYFUNCTION("(SUMPRODUCT(FILTER($C$2:$C$11,$B$2:$B$11&lt;=F17),FILTER($C$2:$C$11,$B$2:$B$11&lt;=F17))-2*$G18*SUM(FILTER($C$2:$C$11,$B$2:$B$11&lt;=F17))+$H18*$G18^2)"),0.13799999999986312)</f>
        <v>0.138</v>
      </c>
    </row>
    <row r="19" ht="15.75" customHeight="1">
      <c r="E19" s="8"/>
      <c r="F19" s="8" t="s">
        <v>20</v>
      </c>
      <c r="G19" s="13">
        <f>AVERAGEIF(B$2:B$11,"&gt;"&amp;F17,C$2:C$11)</f>
        <v>7.85</v>
      </c>
      <c r="H19" s="9">
        <f>10-$H18</f>
        <v>5</v>
      </c>
      <c r="I19" s="14">
        <f>IFERROR(__xludf.DUMMYFUNCTION("(SUMPRODUCT(FILTER($C$2:$C$11,$B$2:$B$11&gt;F17),FILTER($C$2:$C$11,$B$2:$B$11&gt;F17))-2*$G19*SUM(FILTER($C$2:$C$11,$B$2:$B$11&gt;F17))+$H19*$G19^2)"),0.12499999999994316)</f>
        <v>0.125</v>
      </c>
    </row>
    <row r="20" ht="15.75" customHeight="1">
      <c r="I20" s="16">
        <f>SUM(I18:I19)</f>
        <v>0.263</v>
      </c>
      <c r="J20" s="8" t="s">
        <v>32</v>
      </c>
    </row>
    <row r="21" ht="15.75" customHeight="1">
      <c r="F21" s="8">
        <v>61.0</v>
      </c>
      <c r="G21" s="8" t="s">
        <v>16</v>
      </c>
      <c r="H21" s="8" t="s">
        <v>17</v>
      </c>
      <c r="I21" s="12" t="s">
        <v>18</v>
      </c>
    </row>
    <row r="22" ht="15.75" customHeight="1">
      <c r="F22" s="8" t="s">
        <v>19</v>
      </c>
      <c r="G22" s="13">
        <f>AVERAGEIF(B$2:B$11,"&lt;="&amp;F21,C$2:C$11)</f>
        <v>7.566666667</v>
      </c>
      <c r="H22" s="9">
        <f>COUNTIFS(B$2:B$11, "&lt;="&amp;F21)</f>
        <v>6</v>
      </c>
      <c r="I22" s="14">
        <f>IFERROR(__xludf.DUMMYFUNCTION("(SUMPRODUCT(FILTER($C$2:$C$11,$B$2:$B$11&lt;=F21),FILTER($C$2:$C$11,$B$2:$B$11&lt;=F21))-2*$G22*SUM(FILTER($C$2:$C$11,$B$2:$B$11&lt;=F21))+$H22*$G22^2)"),0.1383333333333212)</f>
        <v>0.1383333333</v>
      </c>
    </row>
    <row r="23" ht="15.75" customHeight="1">
      <c r="F23" s="8" t="s">
        <v>20</v>
      </c>
      <c r="G23" s="13">
        <f>AVERAGEIF(B$2:B$11,"&gt;"&amp;F21,C$2:C$11)</f>
        <v>7.925</v>
      </c>
      <c r="H23" s="9">
        <f>10-$H22</f>
        <v>4</v>
      </c>
      <c r="I23" s="14">
        <f>IFERROR(__xludf.DUMMYFUNCTION("(SUMPRODUCT(FILTER($C$2:$C$11,$B$2:$B$11&gt;F21),FILTER($C$2:$C$11,$B$2:$B$11&gt;F21))-2*$G23*SUM(FILTER($C$2:$C$11,$B$2:$B$11&gt;F21))+$H23*$G23^2)"),0.012499999999931788)</f>
        <v>0.0125</v>
      </c>
    </row>
    <row r="24" ht="15.75" customHeight="1">
      <c r="I24" s="32">
        <f>SUM(I22:I23)</f>
        <v>0.1508333333</v>
      </c>
      <c r="J24" s="8" t="s">
        <v>32</v>
      </c>
    </row>
    <row r="25" ht="15.75" customHeight="1">
      <c r="F25" s="8">
        <v>62.0</v>
      </c>
      <c r="G25" s="8" t="s">
        <v>16</v>
      </c>
      <c r="H25" s="8" t="s">
        <v>17</v>
      </c>
      <c r="I25" s="12" t="s">
        <v>18</v>
      </c>
    </row>
    <row r="26" ht="15.75" customHeight="1">
      <c r="F26" s="8" t="s">
        <v>19</v>
      </c>
      <c r="G26" s="13">
        <f>AVERAGEIF(B$2:B$11,"&lt;="&amp;F25,C$2:C$11)</f>
        <v>7.65625</v>
      </c>
      <c r="H26" s="9">
        <f>COUNTIFS(B$2:B$11, "&lt;="&amp;F25)</f>
        <v>8</v>
      </c>
      <c r="I26" s="14">
        <f>IFERROR(__xludf.DUMMYFUNCTION("(SUMPRODUCT(FILTER($C$2:$C$11,$B$2:$B$11&lt;=F25),FILTER($C$2:$C$11,$B$2:$B$11&lt;=F25))-2*$G26*SUM(FILTER($C$2:$C$11,$B$2:$B$11&lt;=F25))+$H26*$G26^2)"),0.3421874999999659)</f>
        <v>0.3421875</v>
      </c>
    </row>
    <row r="27" ht="15.75" customHeight="1">
      <c r="F27" s="8" t="s">
        <v>20</v>
      </c>
      <c r="G27" s="13">
        <f>AVERAGEIF(B$2:B$11,"&gt;"&amp;F25,C$2:C$11)</f>
        <v>7.925</v>
      </c>
      <c r="H27" s="9">
        <f>10-$H26</f>
        <v>2</v>
      </c>
      <c r="I27" s="14">
        <f>IFERROR(__xludf.DUMMYFUNCTION("(SUMPRODUCT(FILTER($C$2:$C$11,$B$2:$B$11&gt;F25),FILTER($C$2:$C$11,$B$2:$B$11&gt;F25))-2*$G27*SUM(FILTER($C$2:$C$11,$B$2:$B$11&gt;F25))+$H27*$G27^2)"),0.0012499999999846523)</f>
        <v>0.00125</v>
      </c>
    </row>
    <row r="28" ht="15.75" customHeight="1">
      <c r="I28" s="16">
        <f>SUM(I26:I27)</f>
        <v>0.3434375</v>
      </c>
      <c r="J28" s="8" t="s">
        <v>32</v>
      </c>
    </row>
    <row r="29" ht="15.75" customHeight="1">
      <c r="F29" s="8">
        <v>64.0</v>
      </c>
      <c r="G29" s="8" t="s">
        <v>16</v>
      </c>
      <c r="H29" s="8" t="s">
        <v>17</v>
      </c>
      <c r="I29" s="12" t="s">
        <v>18</v>
      </c>
    </row>
    <row r="30" ht="15.75" customHeight="1">
      <c r="F30" s="8" t="s">
        <v>19</v>
      </c>
      <c r="G30" s="13">
        <f>AVERAGEIF(B$2:B$11,"&lt;="&amp;F29,C$2:C$11)</f>
        <v>7.688888889</v>
      </c>
      <c r="H30" s="9">
        <f>COUNTIFS(B$2:B$11, "&lt;="&amp;F29)</f>
        <v>9</v>
      </c>
      <c r="I30" s="14">
        <f>IFERROR(__xludf.DUMMYFUNCTION("(SUMPRODUCT(FILTER($C$2:$C$11,$B$2:$B$11&lt;=F29),FILTER($C$2:$C$11,$B$2:$B$11&lt;=F29))-2*$G30*SUM(FILTER($C$2:$C$11,$B$2:$B$11&lt;=F29))+$H30*$G30^2)"),0.41888888888888687)</f>
        <v>0.4188888889</v>
      </c>
    </row>
    <row r="31" ht="15.75" customHeight="1">
      <c r="F31" s="8" t="s">
        <v>20</v>
      </c>
      <c r="G31" s="13">
        <f>AVERAGEIF(B$2:B$11,"&gt;"&amp;F29,C$2:C$11)</f>
        <v>7.9</v>
      </c>
      <c r="H31" s="9">
        <f>10-$H30</f>
        <v>1</v>
      </c>
      <c r="I31" s="14">
        <f>IFERROR(__xludf.DUMMYFUNCTION("(SUMPRODUCT(FILTER($C$2:$C$11,$B$2:$B$11&gt;F29),FILTER($C$2:$C$11,$B$2:$B$11&gt;F29))-2*$G31*SUM(FILTER($C$2:$C$11,$B$2:$B$11&gt;F29))+$H31*$G31^2)"),0.0)</f>
        <v>0</v>
      </c>
    </row>
    <row r="32" ht="15.75" customHeight="1">
      <c r="I32" s="16">
        <f>SUM(I30:I31)</f>
        <v>0.4188888889</v>
      </c>
      <c r="J32" s="8" t="s">
        <v>32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9.33"/>
    <col customWidth="1" min="3" max="3" width="9.56"/>
    <col customWidth="1" min="4" max="4" width="10.56"/>
    <col customWidth="1" min="5" max="5" width="16.67"/>
    <col customWidth="1" min="6" max="8" width="10.56"/>
    <col customWidth="1" min="9" max="9" width="14.78"/>
    <col customWidth="1" min="10" max="10" width="23.56"/>
    <col customWidth="1" min="11" max="17" width="10.56"/>
  </cols>
  <sheetData>
    <row r="1" ht="15.75" customHeight="1">
      <c r="A1" s="2" t="s">
        <v>11</v>
      </c>
      <c r="B1" s="2" t="s">
        <v>12</v>
      </c>
      <c r="C1" s="2" t="s">
        <v>13</v>
      </c>
      <c r="E1" s="8" t="s">
        <v>31</v>
      </c>
      <c r="F1" s="8">
        <v>160.0</v>
      </c>
      <c r="G1" s="8" t="s">
        <v>16</v>
      </c>
      <c r="H1" s="8" t="s">
        <v>17</v>
      </c>
      <c r="I1" s="12" t="s">
        <v>18</v>
      </c>
    </row>
    <row r="2" ht="15.75" customHeight="1">
      <c r="A2" s="2">
        <v>165.0</v>
      </c>
      <c r="B2" s="2">
        <v>55.0</v>
      </c>
      <c r="C2" s="2">
        <v>7.5</v>
      </c>
      <c r="D2" s="11"/>
      <c r="F2" s="8" t="s">
        <v>19</v>
      </c>
      <c r="G2" s="13">
        <f>AVERAGEIF(A$16:A$21,"&lt;="&amp;F1,C$16:C$21)</f>
        <v>7.3</v>
      </c>
      <c r="H2" s="9">
        <f>COUNTIFS(A$16:A$21, "&lt;="&amp;F1)</f>
        <v>1</v>
      </c>
      <c r="I2" s="14">
        <f>IFERROR(__xludf.DUMMYFUNCTION("(SUMPRODUCT(FILTER($C$16:$C$21,$A$16:$A$21&lt;=F1),FILTER($C$16:$C$21,$A$16:$A$21&lt;=F1))-2*$G2*SUM(FILTER($C$16:$C$21,$A$16:$A$21&lt;=F1))+$H2*$G2^2)"),0.0)</f>
        <v>0</v>
      </c>
    </row>
    <row r="3" ht="15.75" customHeight="1">
      <c r="A3" s="2">
        <v>169.0</v>
      </c>
      <c r="B3" s="2">
        <v>57.0</v>
      </c>
      <c r="C3" s="2">
        <v>7.65</v>
      </c>
      <c r="D3" s="11"/>
      <c r="F3" s="8" t="s">
        <v>20</v>
      </c>
      <c r="G3" s="13">
        <f>AVERAGEIF(A$16:A$21,"&gt;"&amp;F1,C$16:C$21)</f>
        <v>7.62</v>
      </c>
      <c r="H3" s="9">
        <f>COUNT(A$16:A$21)-$H2</f>
        <v>5</v>
      </c>
      <c r="I3" s="14">
        <f>IFERROR(__xludf.DUMMYFUNCTION("(SUMPRODUCT(FILTER($C$16:$C$21,$A$16:$A$21&gt;F1),FILTER($C$16:$C$21,$A$16:$A$21&gt;F1))-2*$G3*SUM(FILTER($C$16:$C$21,$A$16:$A$21&gt;F1))+$H3*$G3^2)"),0.05299999999999727)</f>
        <v>0.053</v>
      </c>
    </row>
    <row r="4" ht="15.75" customHeight="1">
      <c r="A4" s="2">
        <v>168.0</v>
      </c>
      <c r="B4" s="2">
        <v>58.0</v>
      </c>
      <c r="C4" s="2">
        <v>7.6</v>
      </c>
      <c r="D4" s="11"/>
      <c r="I4" s="22">
        <f>SUM(I2:I3)</f>
        <v>0.053</v>
      </c>
      <c r="J4" s="8" t="s">
        <v>32</v>
      </c>
    </row>
    <row r="5" ht="15.75" customHeight="1">
      <c r="A5" s="2">
        <v>160.0</v>
      </c>
      <c r="B5" s="2">
        <v>59.0</v>
      </c>
      <c r="C5" s="2">
        <v>7.3</v>
      </c>
      <c r="D5" s="11"/>
      <c r="F5" s="8">
        <v>165.0</v>
      </c>
      <c r="I5" s="12" t="s">
        <v>18</v>
      </c>
    </row>
    <row r="6" ht="15.75" customHeight="1">
      <c r="A6" s="2">
        <v>170.0</v>
      </c>
      <c r="B6" s="2">
        <v>60.0</v>
      </c>
      <c r="C6" s="2">
        <v>7.8</v>
      </c>
      <c r="D6" s="11"/>
      <c r="F6" s="8" t="s">
        <v>19</v>
      </c>
      <c r="G6" s="13">
        <f>AVERAGEIF(A$16:A$21,"&lt;="&amp;F5,C$16:C$21)</f>
        <v>7.4</v>
      </c>
      <c r="H6" s="9">
        <f>COUNTIFS(A$16:A$21, "&lt;="&amp;F5)</f>
        <v>2</v>
      </c>
      <c r="I6" s="14">
        <f>IFERROR(__xludf.DUMMYFUNCTION("(SUMPRODUCT(FILTER($C$16:$C$21,$A$16:$A$21&lt;=F5),FILTER($C$16:$C$21,$A$16:$A$21&lt;=F5))-2*$G6*SUM(FILTER($C$16:$C$21,$A$16:$A$21&lt;=F5))+$H6*$G6^2)"),0.01999999999998181)</f>
        <v>0.02</v>
      </c>
    </row>
    <row r="7" ht="15.75" customHeight="1">
      <c r="A7" s="2">
        <v>174.0</v>
      </c>
      <c r="B7" s="2">
        <v>61.0</v>
      </c>
      <c r="C7" s="2">
        <v>7.55</v>
      </c>
      <c r="D7" s="11"/>
      <c r="F7" s="8" t="s">
        <v>20</v>
      </c>
      <c r="G7" s="13">
        <f>AVERAGEIF(A$16:A$21,"&gt;"&amp;F5,C$16:C$21)</f>
        <v>7.65</v>
      </c>
      <c r="H7" s="9">
        <f>COUNT(A$16:A$21)-$H6</f>
        <v>4</v>
      </c>
      <c r="I7" s="14">
        <f>IFERROR(__xludf.DUMMYFUNCTION("(SUMPRODUCT(FILTER($C$16:$C$21,$A$16:$A$21&gt;F5),FILTER($C$16:$C$21,$A$16:$A$21&gt;F5))-2*$G7*SUM(FILTER($C$16:$C$21,$A$16:$A$21&gt;F5))+$H7*$G7^2)"),0.03499999999996817)</f>
        <v>0.035</v>
      </c>
    </row>
    <row r="8" ht="15.75" customHeight="1">
      <c r="A8" s="2">
        <v>168.0</v>
      </c>
      <c r="B8" s="2">
        <v>62.0</v>
      </c>
      <c r="C8" s="2">
        <v>7.85</v>
      </c>
      <c r="D8" s="11"/>
      <c r="I8" s="15">
        <f>SUM(I6:I7)</f>
        <v>0.055</v>
      </c>
      <c r="J8" s="8" t="s">
        <v>32</v>
      </c>
    </row>
    <row r="9" ht="15.75" customHeight="1">
      <c r="A9" s="2">
        <v>180.0</v>
      </c>
      <c r="B9" s="2">
        <v>62.0</v>
      </c>
      <c r="C9" s="2">
        <v>8.0</v>
      </c>
      <c r="D9" s="11"/>
      <c r="F9" s="23">
        <v>168.0</v>
      </c>
      <c r="I9" s="12" t="s">
        <v>18</v>
      </c>
      <c r="J9" s="24"/>
    </row>
    <row r="10" ht="15.75" customHeight="1">
      <c r="A10" s="2">
        <v>170.0</v>
      </c>
      <c r="B10" s="2">
        <v>64.0</v>
      </c>
      <c r="C10" s="2">
        <v>7.95</v>
      </c>
      <c r="D10" s="11"/>
      <c r="F10" s="23" t="s">
        <v>19</v>
      </c>
      <c r="G10" s="13">
        <f>AVERAGEIF(A$16:A$21,"&lt;="&amp;F9,C$16:C$21)</f>
        <v>7.466666667</v>
      </c>
      <c r="H10" s="9">
        <f>COUNTIFS(A$16:A$21, "&lt;="&amp;F9)</f>
        <v>3</v>
      </c>
      <c r="I10" s="14">
        <f>IFERROR(__xludf.DUMMYFUNCTION("(SUMPRODUCT(FILTER($C$16:$C$21,$A$16:$A$21&lt;=F9),FILTER($C$16:$C$21,$A$16:$A$21&lt;=F9))-2*$G10*SUM(FILTER($C$16:$C$21,$A$16:$A$21&lt;=F9))+$H10*$G10^2)"),0.04666666666668107)</f>
        <v>0.04666666667</v>
      </c>
    </row>
    <row r="11" ht="15.75" customHeight="1">
      <c r="A11" s="2">
        <v>175.0</v>
      </c>
      <c r="B11" s="2">
        <v>65.0</v>
      </c>
      <c r="C11" s="2">
        <v>7.9</v>
      </c>
      <c r="D11" s="11"/>
      <c r="F11" s="23" t="s">
        <v>20</v>
      </c>
      <c r="G11" s="13">
        <f>AVERAGEIF(A$16:A$21,"&gt;"&amp;F9,C$16:C$21)</f>
        <v>7.666666667</v>
      </c>
      <c r="H11" s="9">
        <f>COUNT(A$16:A$21)-$H10</f>
        <v>3</v>
      </c>
      <c r="I11" s="14">
        <f>IFERROR(__xludf.DUMMYFUNCTION("(SUMPRODUCT(FILTER($C$16:$C$21,$A$16:$A$21&gt;F9),FILTER($C$16:$C$21,$A$16:$A$21&gt;F9))-2*$G11*SUM(FILTER($C$16:$C$21,$A$16:$A$21&gt;F9))+$H11*$G11^2)"),0.03166666666669471)</f>
        <v>0.03166666667</v>
      </c>
    </row>
    <row r="12" ht="15.75" customHeight="1">
      <c r="A12" s="25">
        <v>170.0</v>
      </c>
      <c r="B12" s="25">
        <v>70.0</v>
      </c>
      <c r="C12" s="26"/>
      <c r="D12" s="20"/>
      <c r="F12" s="24"/>
      <c r="I12" s="15">
        <f>SUM(I10:I11)</f>
        <v>0.07833333333</v>
      </c>
      <c r="J12" s="8" t="s">
        <v>32</v>
      </c>
    </row>
    <row r="13" ht="15.75" customHeight="1">
      <c r="A13" s="27"/>
      <c r="B13" s="27"/>
      <c r="C13" s="28"/>
      <c r="D13" s="11"/>
      <c r="F13" s="23">
        <v>169.0</v>
      </c>
      <c r="I13" s="12" t="s">
        <v>18</v>
      </c>
      <c r="J13" s="24"/>
    </row>
    <row r="14" ht="15.75" customHeight="1">
      <c r="A14" s="33" t="s">
        <v>34</v>
      </c>
      <c r="F14" s="23" t="s">
        <v>19</v>
      </c>
      <c r="G14" s="13">
        <f>AVERAGEIF(A$16:A$21,"&lt;="&amp;F13,C$16:C$21)</f>
        <v>7.5125</v>
      </c>
      <c r="H14" s="9">
        <f>COUNTIFS(A$16:A$21, "&lt;="&amp;F13)</f>
        <v>4</v>
      </c>
      <c r="I14" s="14">
        <f>IFERROR(__xludf.DUMMYFUNCTION("(SUMPRODUCT(FILTER($C$16:$C$21,$A$16:$A$21&lt;=F13),FILTER($C$16:$C$21,$A$16:$A$21&lt;=F13))-2*$G14*SUM(FILTER($C$16:$C$21,$A$16:$A$21&lt;=F13))+$H14*$G14^2)"),0.07187499999997726)</f>
        <v>0.071875</v>
      </c>
    </row>
    <row r="15" ht="15.75" customHeight="1">
      <c r="A15" s="8" t="s">
        <v>33</v>
      </c>
      <c r="C15" s="8">
        <v>61.0</v>
      </c>
      <c r="F15" s="23" t="s">
        <v>20</v>
      </c>
      <c r="G15" s="13">
        <f>AVERAGEIF(A$16:A$21,"&gt;"&amp;F13,C$16:C$21)</f>
        <v>7.675</v>
      </c>
      <c r="H15" s="9">
        <f>COUNT(A$16:A$21)-$H14</f>
        <v>2</v>
      </c>
      <c r="I15" s="14">
        <f>IFERROR(__xludf.DUMMYFUNCTION("(SUMPRODUCT(FILTER($C$16:$C$21,$A$16:$A$21&gt;F13),FILTER($C$16:$C$21,$A$16:$A$21&gt;F13))-2*$G15*SUM(FILTER($C$16:$C$21,$A$16:$A$21&gt;F13))+$H15*$G15^2)"),0.03125)</f>
        <v>0.03125</v>
      </c>
    </row>
    <row r="16" ht="15.75" customHeight="1">
      <c r="A16" s="34">
        <f>IFERROR(__xludf.DUMMYFUNCTION("FILTER(A2:C11,B2:B11&lt;=C15)"),165.0)</f>
        <v>165</v>
      </c>
      <c r="B16" s="34">
        <f>IFERROR(__xludf.DUMMYFUNCTION("""COMPUTED_VALUE"""),55.0)</f>
        <v>55</v>
      </c>
      <c r="C16" s="34">
        <f>IFERROR(__xludf.DUMMYFUNCTION("""COMPUTED_VALUE"""),7.5)</f>
        <v>7.5</v>
      </c>
      <c r="F16" s="24"/>
      <c r="I16" s="15">
        <f>SUM(I14:I15)</f>
        <v>0.103125</v>
      </c>
      <c r="J16" s="8" t="s">
        <v>32</v>
      </c>
    </row>
    <row r="17" ht="15.75" customHeight="1">
      <c r="A17" s="34">
        <f>IFERROR(__xludf.DUMMYFUNCTION("""COMPUTED_VALUE"""),169.0)</f>
        <v>169</v>
      </c>
      <c r="B17" s="34">
        <f>IFERROR(__xludf.DUMMYFUNCTION("""COMPUTED_VALUE"""),57.0)</f>
        <v>57</v>
      </c>
      <c r="C17" s="34">
        <f>IFERROR(__xludf.DUMMYFUNCTION("""COMPUTED_VALUE"""),7.65)</f>
        <v>7.65</v>
      </c>
      <c r="F17" s="23">
        <v>170.0</v>
      </c>
      <c r="I17" s="12" t="s">
        <v>18</v>
      </c>
      <c r="J17" s="24"/>
    </row>
    <row r="18" ht="15.75" customHeight="1">
      <c r="A18" s="34">
        <f>IFERROR(__xludf.DUMMYFUNCTION("""COMPUTED_VALUE"""),168.0)</f>
        <v>168</v>
      </c>
      <c r="B18" s="34">
        <f>IFERROR(__xludf.DUMMYFUNCTION("""COMPUTED_VALUE"""),58.0)</f>
        <v>58</v>
      </c>
      <c r="C18" s="34">
        <f>IFERROR(__xludf.DUMMYFUNCTION("""COMPUTED_VALUE"""),7.6)</f>
        <v>7.6</v>
      </c>
      <c r="F18" s="23" t="s">
        <v>19</v>
      </c>
      <c r="G18" s="13">
        <f>AVERAGEIF(A$16:A$21,"&lt;="&amp;F17,C$16:C$21)</f>
        <v>7.57</v>
      </c>
      <c r="H18" s="9">
        <f>COUNTIFS(A$16:A$21, "&lt;="&amp;F17)</f>
        <v>5</v>
      </c>
      <c r="I18" s="14">
        <f>IFERROR(__xludf.DUMMYFUNCTION("(SUMPRODUCT(FILTER($C$16:$C$21,$A$16:$A$21&lt;=F17),FILTER($C$16:$C$21,$A$16:$A$21&lt;=F17))-2*$G18*SUM(FILTER($C$16:$C$21,$A$16:$A$21&lt;=F17))+$H18*$G18^2)"),0.13799999999986312)</f>
        <v>0.138</v>
      </c>
    </row>
    <row r="19" ht="15.75" customHeight="1">
      <c r="A19" s="34">
        <f>IFERROR(__xludf.DUMMYFUNCTION("""COMPUTED_VALUE"""),160.0)</f>
        <v>160</v>
      </c>
      <c r="B19" s="34">
        <f>IFERROR(__xludf.DUMMYFUNCTION("""COMPUTED_VALUE"""),59.0)</f>
        <v>59</v>
      </c>
      <c r="C19" s="34">
        <f>IFERROR(__xludf.DUMMYFUNCTION("""COMPUTED_VALUE"""),7.3)</f>
        <v>7.3</v>
      </c>
      <c r="F19" s="23" t="s">
        <v>20</v>
      </c>
      <c r="G19" s="13">
        <f>AVERAGEIF(A$16:A$21,"&gt;"&amp;F17,C$16:C$21)</f>
        <v>7.55</v>
      </c>
      <c r="H19" s="9">
        <f>COUNT(A$16:A$21)-$H18</f>
        <v>1</v>
      </c>
      <c r="I19" s="14">
        <f>IFERROR(__xludf.DUMMYFUNCTION("(SUMPRODUCT(FILTER($C$16:$C$21,$A$16:$A$21&gt;F17),FILTER($C$16:$C$21,$A$16:$A$21&gt;F17))-2*$G19*SUM(FILTER($C$16:$C$21,$A$16:$A$21&gt;F17))+$H19*$G19^2)"),0.0)</f>
        <v>0</v>
      </c>
    </row>
    <row r="20" ht="15.75" customHeight="1">
      <c r="A20" s="34">
        <f>IFERROR(__xludf.DUMMYFUNCTION("""COMPUTED_VALUE"""),170.0)</f>
        <v>170</v>
      </c>
      <c r="B20" s="34">
        <f>IFERROR(__xludf.DUMMYFUNCTION("""COMPUTED_VALUE"""),60.0)</f>
        <v>60</v>
      </c>
      <c r="C20" s="34">
        <f>IFERROR(__xludf.DUMMYFUNCTION("""COMPUTED_VALUE"""),7.8)</f>
        <v>7.8</v>
      </c>
      <c r="F20" s="24"/>
      <c r="I20" s="15">
        <f>SUM(I18:I19)</f>
        <v>0.138</v>
      </c>
      <c r="J20" s="8" t="s">
        <v>32</v>
      </c>
    </row>
    <row r="21" ht="15.75" customHeight="1">
      <c r="A21" s="34">
        <f>IFERROR(__xludf.DUMMYFUNCTION("""COMPUTED_VALUE"""),174.0)</f>
        <v>174</v>
      </c>
      <c r="B21" s="34">
        <f>IFERROR(__xludf.DUMMYFUNCTION("""COMPUTED_VALUE"""),61.0)</f>
        <v>61</v>
      </c>
      <c r="C21" s="34">
        <f>IFERROR(__xludf.DUMMYFUNCTION("""COMPUTED_VALUE"""),7.55)</f>
        <v>7.55</v>
      </c>
      <c r="F21" s="8"/>
      <c r="I21" s="12"/>
    </row>
    <row r="22" ht="15.75" customHeight="1">
      <c r="F22" s="8"/>
      <c r="G22" s="13"/>
      <c r="I22" s="14"/>
    </row>
    <row r="23" ht="15.75" customHeight="1">
      <c r="F23" s="8"/>
      <c r="G23" s="13"/>
      <c r="I23" s="14"/>
    </row>
    <row r="24" ht="15.75" customHeight="1">
      <c r="I24" s="29"/>
    </row>
    <row r="25" ht="15.75" customHeight="1">
      <c r="F25" s="8"/>
      <c r="I25" s="12"/>
    </row>
    <row r="26" ht="15.75" customHeight="1">
      <c r="F26" s="8"/>
      <c r="G26" s="13"/>
      <c r="I26" s="14"/>
    </row>
    <row r="27" ht="15.75" customHeight="1">
      <c r="F27" s="8"/>
      <c r="G27" s="13"/>
      <c r="I27" s="14"/>
    </row>
    <row r="28" ht="15.75" customHeight="1">
      <c r="I28" s="29"/>
    </row>
    <row r="29" ht="15.75" customHeight="1">
      <c r="F29" s="8"/>
      <c r="I29" s="12"/>
    </row>
    <row r="30" ht="15.75" customHeight="1">
      <c r="F30" s="8"/>
      <c r="G30" s="13"/>
      <c r="I30" s="14"/>
    </row>
    <row r="31" ht="15.75" customHeight="1">
      <c r="F31" s="8"/>
      <c r="G31" s="13"/>
      <c r="I31" s="14"/>
    </row>
    <row r="32" ht="15.75" customHeight="1">
      <c r="I32" s="2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5:B15"/>
    <mergeCell ref="A14:C1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9.33"/>
    <col customWidth="1" min="3" max="3" width="9.56"/>
    <col customWidth="1" min="4" max="4" width="10.56"/>
    <col customWidth="1" min="5" max="5" width="16.67"/>
    <col customWidth="1" min="6" max="8" width="10.56"/>
    <col customWidth="1" min="9" max="9" width="14.78"/>
    <col customWidth="1" min="10" max="10" width="23.56"/>
    <col customWidth="1" min="11" max="17" width="10.56"/>
  </cols>
  <sheetData>
    <row r="1" ht="15.75" customHeight="1">
      <c r="A1" s="2" t="s">
        <v>11</v>
      </c>
      <c r="B1" s="2" t="s">
        <v>12</v>
      </c>
      <c r="C1" s="2" t="s">
        <v>13</v>
      </c>
      <c r="E1" s="8" t="s">
        <v>33</v>
      </c>
      <c r="F1" s="8">
        <v>55.0</v>
      </c>
      <c r="G1" s="8" t="s">
        <v>16</v>
      </c>
      <c r="H1" s="8" t="s">
        <v>17</v>
      </c>
      <c r="I1" s="12" t="s">
        <v>18</v>
      </c>
    </row>
    <row r="2" ht="15.75" customHeight="1">
      <c r="A2" s="2">
        <v>165.0</v>
      </c>
      <c r="B2" s="2">
        <v>55.0</v>
      </c>
      <c r="C2" s="2">
        <v>7.5</v>
      </c>
      <c r="D2" s="11"/>
      <c r="F2" s="8" t="s">
        <v>19</v>
      </c>
      <c r="G2" s="13">
        <f>AVERAGEIF(B$16:B$21,"&lt;="&amp;F1,C$16:C$21)</f>
        <v>7.5</v>
      </c>
      <c r="H2" s="9">
        <f>COUNTIFS(B$16:B$21, "&lt;="&amp;F1)</f>
        <v>1</v>
      </c>
      <c r="I2" s="14">
        <f>IFERROR(__xludf.DUMMYFUNCTION("(SUMPRODUCT(FILTER($C$16:$C$21,$B$16:$B$21&lt;=F1),FILTER($C$16:$C$21,$B$16:$B$21&lt;=F1))-2*$G2*SUM(FILTER($C$16:$C$21,$B$16:$B$21&lt;=F1))+$H2*$G2^2)"),0.0)</f>
        <v>0</v>
      </c>
    </row>
    <row r="3" ht="15.75" customHeight="1">
      <c r="A3" s="2">
        <v>169.0</v>
      </c>
      <c r="B3" s="2">
        <v>57.0</v>
      </c>
      <c r="C3" s="2">
        <v>7.65</v>
      </c>
      <c r="D3" s="11"/>
      <c r="F3" s="8" t="s">
        <v>20</v>
      </c>
      <c r="G3" s="13">
        <f>AVERAGEIF(B$16:B$21,"&gt;"&amp;F1,C$16:C$21)</f>
        <v>7.58</v>
      </c>
      <c r="H3" s="9">
        <f>COUNT(B$16:B$21)-$H2</f>
        <v>5</v>
      </c>
      <c r="I3" s="14">
        <f>IFERROR(__xludf.DUMMYFUNCTION("(SUMPRODUCT(FILTER($C$16:$C$21,$B$16:$B$21&gt;F1),FILTER($C$16:$C$21,$B$16:$B$21&gt;F1))-2*$G3*SUM(FILTER($C$16:$C$21,$B$16:$B$21&gt;F1))+$H3*$G3^2)"),0.1330000000000382)</f>
        <v>0.133</v>
      </c>
    </row>
    <row r="4" ht="15.75" customHeight="1">
      <c r="A4" s="2">
        <v>168.0</v>
      </c>
      <c r="B4" s="2">
        <v>58.0</v>
      </c>
      <c r="C4" s="2">
        <v>7.6</v>
      </c>
      <c r="D4" s="11"/>
      <c r="I4" s="15">
        <f>SUM(I2:I3)</f>
        <v>0.133</v>
      </c>
      <c r="J4" s="8" t="s">
        <v>32</v>
      </c>
    </row>
    <row r="5" ht="15.75" customHeight="1">
      <c r="A5" s="2">
        <v>160.0</v>
      </c>
      <c r="B5" s="2">
        <v>59.0</v>
      </c>
      <c r="C5" s="2">
        <v>7.3</v>
      </c>
      <c r="D5" s="11"/>
      <c r="F5" s="8">
        <v>57.0</v>
      </c>
      <c r="I5" s="12" t="s">
        <v>18</v>
      </c>
    </row>
    <row r="6" ht="15.75" customHeight="1">
      <c r="A6" s="2">
        <v>170.0</v>
      </c>
      <c r="B6" s="2">
        <v>60.0</v>
      </c>
      <c r="C6" s="2">
        <v>7.8</v>
      </c>
      <c r="D6" s="11"/>
      <c r="F6" s="8" t="s">
        <v>19</v>
      </c>
      <c r="G6" s="13">
        <f>AVERAGEIF(B$16:B$21,"&lt;="&amp;F5,C$16:C$21)</f>
        <v>7.575</v>
      </c>
      <c r="H6" s="9">
        <f>COUNTIFS(B$16:B$21, "&lt;="&amp;F5)</f>
        <v>2</v>
      </c>
      <c r="I6" s="14">
        <f>IFERROR(__xludf.DUMMYFUNCTION("(SUMPRODUCT(FILTER($C$16:$C$21,$B$16:$B$21&lt;=F5),FILTER($C$16:$C$21,$B$16:$B$21&lt;=F5))-2*$G6*SUM(FILTER($C$16:$C$21,$B$16:$B$21&lt;=F5))+$H6*$G6^2)"),0.011250000000003979)</f>
        <v>0.01125</v>
      </c>
    </row>
    <row r="7" ht="15.75" customHeight="1">
      <c r="A7" s="2">
        <v>174.0</v>
      </c>
      <c r="B7" s="2">
        <v>61.0</v>
      </c>
      <c r="C7" s="2">
        <v>7.55</v>
      </c>
      <c r="D7" s="11"/>
      <c r="F7" s="8" t="s">
        <v>20</v>
      </c>
      <c r="G7" s="13">
        <f>AVERAGEIF(B$16:B$21,"&gt;"&amp;F5,C$16:C$21)</f>
        <v>7.5625</v>
      </c>
      <c r="H7" s="9">
        <f>COUNT(B$16:B$21)-$H6</f>
        <v>4</v>
      </c>
      <c r="I7" s="14">
        <f>IFERROR(__xludf.DUMMYFUNCTION("(SUMPRODUCT(FILTER($C$16:$C$21,$B$16:$B$21&gt;F5),FILTER($C$16:$C$21,$B$16:$B$21&gt;F5))-2*$G7*SUM(FILTER($C$16:$C$21,$B$16:$B$21&gt;F5))+$H7*$G7^2)"),0.12687499999998408)</f>
        <v>0.126875</v>
      </c>
    </row>
    <row r="8" ht="15.75" customHeight="1">
      <c r="A8" s="2">
        <v>168.0</v>
      </c>
      <c r="B8" s="2">
        <v>62.0</v>
      </c>
      <c r="C8" s="2">
        <v>7.85</v>
      </c>
      <c r="D8" s="11"/>
      <c r="I8" s="15">
        <f>SUM(I6:I7)</f>
        <v>0.138125</v>
      </c>
      <c r="J8" s="8" t="s">
        <v>32</v>
      </c>
    </row>
    <row r="9" ht="15.75" customHeight="1">
      <c r="A9" s="2">
        <v>180.0</v>
      </c>
      <c r="B9" s="2">
        <v>62.0</v>
      </c>
      <c r="C9" s="2">
        <v>8.0</v>
      </c>
      <c r="D9" s="11"/>
      <c r="F9" s="23">
        <v>58.0</v>
      </c>
      <c r="I9" s="12" t="s">
        <v>18</v>
      </c>
      <c r="J9" s="24"/>
    </row>
    <row r="10" ht="15.75" customHeight="1">
      <c r="A10" s="2">
        <v>170.0</v>
      </c>
      <c r="B10" s="2">
        <v>64.0</v>
      </c>
      <c r="C10" s="2">
        <v>7.95</v>
      </c>
      <c r="D10" s="11"/>
      <c r="F10" s="8" t="s">
        <v>19</v>
      </c>
      <c r="G10" s="13">
        <f>AVERAGEIF(B$16:B$21,"&lt;="&amp;F9,C$16:C$21)</f>
        <v>7.583333333</v>
      </c>
      <c r="H10" s="9">
        <f>COUNTIFS(B$16:B$21, "&lt;="&amp;F9)</f>
        <v>3</v>
      </c>
      <c r="I10" s="14">
        <f>IFERROR(__xludf.DUMMYFUNCTION("(SUMPRODUCT(FILTER($C$16:$C$21,$B$16:$B$21&lt;=F9),FILTER($C$16:$C$21,$B$16:$B$21&lt;=F9))-2*$G10*SUM(FILTER($C$16:$C$21,$B$16:$B$21&lt;=F9))+$H10*$G10^2)"),0.011666666666684478)</f>
        <v>0.01166666667</v>
      </c>
    </row>
    <row r="11" ht="15.75" customHeight="1">
      <c r="A11" s="2">
        <v>175.0</v>
      </c>
      <c r="B11" s="2">
        <v>65.0</v>
      </c>
      <c r="C11" s="2">
        <v>7.9</v>
      </c>
      <c r="D11" s="11"/>
      <c r="F11" s="8" t="s">
        <v>20</v>
      </c>
      <c r="G11" s="13">
        <f>AVERAGEIF(B$16:B$21,"&gt;"&amp;F9,C$16:C$21)</f>
        <v>7.55</v>
      </c>
      <c r="H11" s="9">
        <f>COUNT(B$16:B$21)-$H10</f>
        <v>3</v>
      </c>
      <c r="I11" s="14">
        <f>IFERROR(__xludf.DUMMYFUNCTION("(SUMPRODUCT(FILTER($C$16:$C$21,$B$16:$B$21&gt;F9),FILTER($C$16:$C$21,$B$16:$B$21&gt;F9))-2*$G11*SUM(FILTER($C$16:$C$21,$B$16:$B$21&gt;F9))+$H11*$G11^2)"),0.125)</f>
        <v>0.125</v>
      </c>
    </row>
    <row r="12" ht="15.75" customHeight="1">
      <c r="A12" s="25">
        <v>170.0</v>
      </c>
      <c r="B12" s="25">
        <v>70.0</v>
      </c>
      <c r="C12" s="26"/>
      <c r="D12" s="20"/>
      <c r="I12" s="15">
        <f>SUM(I10:I11)</f>
        <v>0.1366666667</v>
      </c>
      <c r="J12" s="8" t="s">
        <v>32</v>
      </c>
    </row>
    <row r="13" ht="15.75" customHeight="1">
      <c r="A13" s="27"/>
      <c r="B13" s="27"/>
      <c r="C13" s="28"/>
      <c r="D13" s="11"/>
      <c r="F13" s="23">
        <v>59.0</v>
      </c>
      <c r="I13" s="12" t="s">
        <v>18</v>
      </c>
      <c r="J13" s="24"/>
    </row>
    <row r="14" ht="15.75" customHeight="1">
      <c r="A14" s="33" t="s">
        <v>34</v>
      </c>
      <c r="F14" s="8" t="s">
        <v>19</v>
      </c>
      <c r="G14" s="13">
        <f>AVERAGEIF(B$16:B$21,"&lt;="&amp;F13,C$16:C$21)</f>
        <v>7.5125</v>
      </c>
      <c r="H14" s="9">
        <f>COUNTIFS(B$16:B$21, "&lt;="&amp;F13)</f>
        <v>4</v>
      </c>
      <c r="I14" s="14">
        <f>IFERROR(__xludf.DUMMYFUNCTION("(SUMPRODUCT(FILTER($C$16:$C$21,$B$16:$B$21&lt;=F13),FILTER($C$16:$C$21,$B$16:$B$21&lt;=F13))-2*$G14*SUM(FILTER($C$16:$C$21,$B$16:$B$21&lt;=F13))+$H14*$G14^2)"),0.07187499999997726)</f>
        <v>0.071875</v>
      </c>
    </row>
    <row r="15" ht="15.75" customHeight="1">
      <c r="A15" s="8" t="s">
        <v>33</v>
      </c>
      <c r="C15" s="8">
        <v>61.0</v>
      </c>
      <c r="F15" s="8" t="s">
        <v>20</v>
      </c>
      <c r="G15" s="13">
        <f>AVERAGEIF(B$16:B$21,"&gt;"&amp;F13,C$16:C$21)</f>
        <v>7.675</v>
      </c>
      <c r="H15" s="9">
        <f>COUNT(B$16:B$21)-$H14</f>
        <v>2</v>
      </c>
      <c r="I15" s="14">
        <f>IFERROR(__xludf.DUMMYFUNCTION("(SUMPRODUCT(FILTER($C$16:$C$21,$B$16:$B$21&gt;F13),FILTER($C$16:$C$21,$B$16:$B$21&gt;F13))-2*$G15*SUM(FILTER($C$16:$C$21,$B$16:$B$21&gt;F13))+$H15*$G15^2)"),0.03125)</f>
        <v>0.03125</v>
      </c>
    </row>
    <row r="16" ht="15.75" customHeight="1">
      <c r="A16" s="34">
        <f>IFERROR(__xludf.DUMMYFUNCTION("FILTER(A2:C11,B2:B11&lt;=C15)"),165.0)</f>
        <v>165</v>
      </c>
      <c r="B16" s="34">
        <f>IFERROR(__xludf.DUMMYFUNCTION("""COMPUTED_VALUE"""),55.0)</f>
        <v>55</v>
      </c>
      <c r="C16" s="34">
        <f>IFERROR(__xludf.DUMMYFUNCTION("""COMPUTED_VALUE"""),7.5)</f>
        <v>7.5</v>
      </c>
      <c r="I16" s="22">
        <f>SUM(I14:I15)</f>
        <v>0.103125</v>
      </c>
      <c r="J16" s="8" t="s">
        <v>32</v>
      </c>
    </row>
    <row r="17" ht="15.75" customHeight="1">
      <c r="A17" s="34">
        <f>IFERROR(__xludf.DUMMYFUNCTION("""COMPUTED_VALUE"""),169.0)</f>
        <v>169</v>
      </c>
      <c r="B17" s="34">
        <f>IFERROR(__xludf.DUMMYFUNCTION("""COMPUTED_VALUE"""),57.0)</f>
        <v>57</v>
      </c>
      <c r="C17" s="34">
        <f>IFERROR(__xludf.DUMMYFUNCTION("""COMPUTED_VALUE"""),7.65)</f>
        <v>7.65</v>
      </c>
      <c r="F17" s="8">
        <v>60.0</v>
      </c>
      <c r="I17" s="12" t="s">
        <v>18</v>
      </c>
    </row>
    <row r="18" ht="15.75" customHeight="1">
      <c r="A18" s="34">
        <f>IFERROR(__xludf.DUMMYFUNCTION("""COMPUTED_VALUE"""),168.0)</f>
        <v>168</v>
      </c>
      <c r="B18" s="34">
        <f>IFERROR(__xludf.DUMMYFUNCTION("""COMPUTED_VALUE"""),58.0)</f>
        <v>58</v>
      </c>
      <c r="C18" s="34">
        <f>IFERROR(__xludf.DUMMYFUNCTION("""COMPUTED_VALUE"""),7.6)</f>
        <v>7.6</v>
      </c>
      <c r="F18" s="8" t="s">
        <v>19</v>
      </c>
      <c r="G18" s="13">
        <f>AVERAGEIF(B$16:B$21,"&lt;="&amp;F17,C$16:C$21)</f>
        <v>7.57</v>
      </c>
      <c r="H18" s="9">
        <f>COUNTIFS(B$16:B$21, "&lt;="&amp;F17)</f>
        <v>5</v>
      </c>
      <c r="I18" s="14">
        <f>IFERROR(__xludf.DUMMYFUNCTION("(SUMPRODUCT(FILTER($C$16:$C$21,$B$16:$B$21&lt;=F17),FILTER($C$16:$C$21,$B$16:$B$21&lt;=F17))-2*$G18*SUM(FILTER($C$16:$C$21,$B$16:$B$21&lt;=F17))+$H18*$G18^2)"),0.13799999999986312)</f>
        <v>0.138</v>
      </c>
    </row>
    <row r="19" ht="15.75" customHeight="1">
      <c r="A19" s="34">
        <f>IFERROR(__xludf.DUMMYFUNCTION("""COMPUTED_VALUE"""),160.0)</f>
        <v>160</v>
      </c>
      <c r="B19" s="34">
        <f>IFERROR(__xludf.DUMMYFUNCTION("""COMPUTED_VALUE"""),59.0)</f>
        <v>59</v>
      </c>
      <c r="C19" s="34">
        <f>IFERROR(__xludf.DUMMYFUNCTION("""COMPUTED_VALUE"""),7.3)</f>
        <v>7.3</v>
      </c>
      <c r="F19" s="8" t="s">
        <v>20</v>
      </c>
      <c r="G19" s="13">
        <f>AVERAGEIF(B$16:B$21,"&gt;"&amp;F17,C$16:C$21)</f>
        <v>7.55</v>
      </c>
      <c r="H19" s="9">
        <f>COUNT(B$16:B$21)-$H18</f>
        <v>1</v>
      </c>
      <c r="I19" s="14">
        <f>IFERROR(__xludf.DUMMYFUNCTION("(SUMPRODUCT(FILTER($C$16:$C$21,$B$16:$B$21&gt;F17),FILTER($C$16:$C$21,$B$16:$B$21&gt;F17))-2*$G19*SUM(FILTER($C$16:$C$21,$B$16:$B$21&gt;F17))+$H19*$G19^2)"),0.0)</f>
        <v>0</v>
      </c>
    </row>
    <row r="20" ht="15.75" customHeight="1">
      <c r="A20" s="34">
        <f>IFERROR(__xludf.DUMMYFUNCTION("""COMPUTED_VALUE"""),170.0)</f>
        <v>170</v>
      </c>
      <c r="B20" s="34">
        <f>IFERROR(__xludf.DUMMYFUNCTION("""COMPUTED_VALUE"""),60.0)</f>
        <v>60</v>
      </c>
      <c r="C20" s="34">
        <f>IFERROR(__xludf.DUMMYFUNCTION("""COMPUTED_VALUE"""),7.8)</f>
        <v>7.8</v>
      </c>
      <c r="I20" s="15">
        <f>SUM(I18:I19)</f>
        <v>0.138</v>
      </c>
      <c r="J20" s="8" t="s">
        <v>32</v>
      </c>
    </row>
    <row r="21" ht="15.75" customHeight="1">
      <c r="A21" s="34">
        <f>IFERROR(__xludf.DUMMYFUNCTION("""COMPUTED_VALUE"""),174.0)</f>
        <v>174</v>
      </c>
      <c r="B21" s="34">
        <f>IFERROR(__xludf.DUMMYFUNCTION("""COMPUTED_VALUE"""),61.0)</f>
        <v>61</v>
      </c>
      <c r="C21" s="34">
        <f>IFERROR(__xludf.DUMMYFUNCTION("""COMPUTED_VALUE"""),7.55)</f>
        <v>7.55</v>
      </c>
      <c r="F21" s="8"/>
      <c r="I21" s="12"/>
    </row>
    <row r="22" ht="15.75" customHeight="1">
      <c r="F22" s="8"/>
      <c r="G22" s="13"/>
      <c r="I22" s="14"/>
    </row>
    <row r="23" ht="15.75" customHeight="1">
      <c r="F23" s="8"/>
      <c r="G23" s="13"/>
      <c r="I23" s="14"/>
    </row>
    <row r="24" ht="15.75" customHeight="1">
      <c r="I24" s="29"/>
    </row>
    <row r="25" ht="15.75" customHeight="1">
      <c r="F25" s="8"/>
      <c r="I25" s="12"/>
    </row>
    <row r="26" ht="15.75" customHeight="1">
      <c r="F26" s="8"/>
      <c r="G26" s="13"/>
      <c r="I26" s="14"/>
    </row>
    <row r="27" ht="15.75" customHeight="1">
      <c r="F27" s="8"/>
      <c r="G27" s="13"/>
      <c r="I27" s="14"/>
    </row>
    <row r="28" ht="15.75" customHeight="1">
      <c r="I28" s="29"/>
    </row>
    <row r="29" ht="15.75" customHeight="1">
      <c r="F29" s="8"/>
      <c r="I29" s="12"/>
    </row>
    <row r="30" ht="15.75" customHeight="1">
      <c r="F30" s="8"/>
      <c r="G30" s="13"/>
      <c r="I30" s="14"/>
    </row>
    <row r="31" ht="15.75" customHeight="1">
      <c r="F31" s="8"/>
      <c r="G31" s="13"/>
      <c r="I31" s="14"/>
    </row>
    <row r="32" ht="15.75" customHeight="1">
      <c r="I32" s="2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5:B15"/>
    <mergeCell ref="A14:C14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9.33"/>
    <col customWidth="1" min="3" max="3" width="9.56"/>
    <col customWidth="1" min="4" max="4" width="10.56"/>
    <col customWidth="1" min="5" max="5" width="16.67"/>
    <col customWidth="1" min="6" max="8" width="10.56"/>
    <col customWidth="1" min="9" max="9" width="14.78"/>
    <col customWidth="1" min="10" max="10" width="23.56"/>
    <col customWidth="1" min="11" max="17" width="10.56"/>
  </cols>
  <sheetData>
    <row r="1" ht="15.75" customHeight="1">
      <c r="A1" s="2" t="s">
        <v>11</v>
      </c>
      <c r="B1" s="2" t="s">
        <v>12</v>
      </c>
      <c r="C1" s="2" t="s">
        <v>13</v>
      </c>
      <c r="E1" s="8" t="s">
        <v>31</v>
      </c>
      <c r="F1" s="8">
        <v>168.0</v>
      </c>
      <c r="G1" s="8" t="s">
        <v>16</v>
      </c>
      <c r="H1" s="8" t="s">
        <v>17</v>
      </c>
      <c r="I1" s="12" t="s">
        <v>18</v>
      </c>
    </row>
    <row r="2" ht="15.75" customHeight="1">
      <c r="A2" s="2">
        <v>165.0</v>
      </c>
      <c r="B2" s="2">
        <v>55.0</v>
      </c>
      <c r="C2" s="2">
        <v>7.5</v>
      </c>
      <c r="D2" s="11"/>
      <c r="F2" s="8" t="s">
        <v>19</v>
      </c>
      <c r="G2" s="13">
        <f>AVERAGEIF(A$16:A$19,"&lt;="&amp;F1,C$16:C$19)</f>
        <v>7.85</v>
      </c>
      <c r="H2" s="9">
        <f>COUNTIFS(A$16:A$19, "&lt;="&amp;F1)</f>
        <v>1</v>
      </c>
      <c r="I2" s="14">
        <f>IFERROR(__xludf.DUMMYFUNCTION("(SUMPRODUCT(FILTER($C$16:$C$19,$A$16:$A$19&lt;=F1),FILTER($C$16:$C$19,$A$16:$A$19&lt;=F1))-2*$G2*SUM(FILTER($C$16:$C$19,$A$16:$A$19&lt;=F1))+$H2*$G2^2)"),0.0)</f>
        <v>0</v>
      </c>
    </row>
    <row r="3" ht="15.75" customHeight="1">
      <c r="A3" s="2">
        <v>169.0</v>
      </c>
      <c r="B3" s="2">
        <v>57.0</v>
      </c>
      <c r="C3" s="2">
        <v>7.65</v>
      </c>
      <c r="D3" s="11"/>
      <c r="F3" s="8" t="s">
        <v>20</v>
      </c>
      <c r="G3" s="13">
        <f>AVERAGEIF(A$16:A$19,"&gt;"&amp;F1,C$16:C$19)</f>
        <v>7.95</v>
      </c>
      <c r="H3" s="9">
        <f>COUNT(A$16:A$19)-$H2</f>
        <v>3</v>
      </c>
      <c r="I3" s="14">
        <f>IFERROR(__xludf.DUMMYFUNCTION("(SUMPRODUCT(FILTER($C$16:$C$19,$A$16:$A$19&gt;F1),FILTER($C$16:$C$19,$A$16:$A$19&gt;F1))-2*$G3*SUM(FILTER($C$16:$C$19,$A$16:$A$19&gt;F1))+$H3*$G3^2)"),0.0049999999999954525)</f>
        <v>0.005</v>
      </c>
    </row>
    <row r="4" ht="15.75" customHeight="1">
      <c r="A4" s="2">
        <v>168.0</v>
      </c>
      <c r="B4" s="2">
        <v>58.0</v>
      </c>
      <c r="C4" s="2">
        <v>7.6</v>
      </c>
      <c r="D4" s="11"/>
      <c r="I4" s="22">
        <f>SUM(I2:I3)</f>
        <v>0.005</v>
      </c>
      <c r="J4" s="8" t="s">
        <v>32</v>
      </c>
    </row>
    <row r="5" ht="15.75" customHeight="1">
      <c r="A5" s="2">
        <v>160.0</v>
      </c>
      <c r="B5" s="2">
        <v>59.0</v>
      </c>
      <c r="C5" s="2">
        <v>7.3</v>
      </c>
      <c r="D5" s="11"/>
      <c r="F5" s="8">
        <v>170.0</v>
      </c>
      <c r="I5" s="12" t="s">
        <v>18</v>
      </c>
    </row>
    <row r="6" ht="15.75" customHeight="1">
      <c r="A6" s="2">
        <v>170.0</v>
      </c>
      <c r="B6" s="2">
        <v>60.0</v>
      </c>
      <c r="C6" s="2">
        <v>7.8</v>
      </c>
      <c r="D6" s="11"/>
      <c r="F6" s="8" t="s">
        <v>19</v>
      </c>
      <c r="G6" s="13">
        <f>AVERAGEIF(A$16:A$19,"&lt;="&amp;F5,C$16:C$19)</f>
        <v>7.9</v>
      </c>
      <c r="H6" s="9">
        <f>COUNTIFS(A$16:A$19, "&lt;="&amp;F5)</f>
        <v>2</v>
      </c>
      <c r="I6" s="14">
        <f>IFERROR(__xludf.DUMMYFUNCTION("(SUMPRODUCT(FILTER($C$16:$C$19,$A$16:$A$19&lt;=F5),FILTER($C$16:$C$19,$A$16:$A$19&lt;=F5))-2*$G6*SUM(FILTER($C$16:$C$19,$A$16:$A$19&lt;=F5))+$H6*$G6^2)"),0.004999999999981242)</f>
        <v>0.005</v>
      </c>
    </row>
    <row r="7" ht="15.75" customHeight="1">
      <c r="A7" s="2">
        <v>174.0</v>
      </c>
      <c r="B7" s="2">
        <v>61.0</v>
      </c>
      <c r="C7" s="2">
        <v>7.55</v>
      </c>
      <c r="D7" s="11"/>
      <c r="F7" s="8" t="s">
        <v>20</v>
      </c>
      <c r="G7" s="13">
        <f>AVERAGEIF(A$16:A$19,"&gt;"&amp;F5,C$16:C$19)</f>
        <v>7.95</v>
      </c>
      <c r="H7" s="9">
        <f>COUNT(A$16:A$19)-$H6</f>
        <v>2</v>
      </c>
      <c r="I7" s="14">
        <f>IFERROR(__xludf.DUMMYFUNCTION("(SUMPRODUCT(FILTER($C$16:$C$19,$A$16:$A$19&gt;F5),FILTER($C$16:$C$19,$A$16:$A$19&gt;F5))-2*$G7*SUM(FILTER($C$16:$C$19,$A$16:$A$19&gt;F5))+$H7*$G7^2)"),0.0049999999999954525)</f>
        <v>0.005</v>
      </c>
    </row>
    <row r="8" ht="15.75" customHeight="1">
      <c r="A8" s="2">
        <v>168.0</v>
      </c>
      <c r="B8" s="2">
        <v>62.0</v>
      </c>
      <c r="C8" s="2">
        <v>7.85</v>
      </c>
      <c r="D8" s="11"/>
      <c r="I8" s="15">
        <f>SUM(I6:I7)</f>
        <v>0.01</v>
      </c>
      <c r="J8" s="8" t="s">
        <v>32</v>
      </c>
    </row>
    <row r="9" ht="15.75" customHeight="1">
      <c r="A9" s="2">
        <v>180.0</v>
      </c>
      <c r="B9" s="2">
        <v>62.0</v>
      </c>
      <c r="C9" s="2">
        <v>8.0</v>
      </c>
      <c r="D9" s="11"/>
      <c r="F9" s="23">
        <v>175.0</v>
      </c>
      <c r="I9" s="12" t="s">
        <v>18</v>
      </c>
      <c r="J9" s="24"/>
    </row>
    <row r="10" ht="15.75" customHeight="1">
      <c r="A10" s="2">
        <v>170.0</v>
      </c>
      <c r="B10" s="2">
        <v>64.0</v>
      </c>
      <c r="C10" s="2">
        <v>7.95</v>
      </c>
      <c r="D10" s="11"/>
      <c r="F10" s="23" t="s">
        <v>19</v>
      </c>
      <c r="G10" s="13">
        <f>AVERAGEIF(A$16:A$19,"&lt;="&amp;F9,C$16:C$19)</f>
        <v>7.9</v>
      </c>
      <c r="H10" s="9">
        <f>COUNTIFS(A$16:A$19, "&lt;="&amp;F9)</f>
        <v>3</v>
      </c>
      <c r="I10" s="14">
        <f>IFERROR(__xludf.DUMMYFUNCTION("(SUMPRODUCT(FILTER($C$16:$C$19,$A$16:$A$19&lt;=F9),FILTER($C$16:$C$19,$A$16:$A$19&lt;=F9))-2*$G10*SUM(FILTER($C$16:$C$19,$A$16:$A$19&lt;=F9))+$H10*$G10^2)"),0.004999999999938609)</f>
        <v>0.005</v>
      </c>
    </row>
    <row r="11" ht="15.75" customHeight="1">
      <c r="A11" s="2">
        <v>175.0</v>
      </c>
      <c r="B11" s="2">
        <v>65.0</v>
      </c>
      <c r="C11" s="2">
        <v>7.9</v>
      </c>
      <c r="D11" s="11"/>
      <c r="F11" s="23" t="s">
        <v>20</v>
      </c>
      <c r="G11" s="13">
        <f>AVERAGEIF(A$16:A$19,"&gt;"&amp;F9,C$16:C$19)</f>
        <v>8</v>
      </c>
      <c r="H11" s="9">
        <f>COUNT(A$16:A$19)-$H10</f>
        <v>1</v>
      </c>
      <c r="I11" s="14">
        <f>IFERROR(__xludf.DUMMYFUNCTION("(SUMPRODUCT(FILTER($C$16:$C$19,$A$16:$A$19&gt;F9),FILTER($C$16:$C$19,$A$16:$A$19&gt;F9))-2*$G11*SUM(FILTER($C$16:$C$19,$A$16:$A$19&gt;F9))+$H11*$G11^2)"),0.0)</f>
        <v>0</v>
      </c>
    </row>
    <row r="12" ht="15.75" customHeight="1">
      <c r="A12" s="25">
        <v>170.0</v>
      </c>
      <c r="B12" s="25">
        <v>70.0</v>
      </c>
      <c r="C12" s="26"/>
      <c r="D12" s="20"/>
      <c r="F12" s="24"/>
      <c r="I12" s="22">
        <f>SUM(I10:I11)</f>
        <v>0.005</v>
      </c>
      <c r="J12" s="8" t="s">
        <v>32</v>
      </c>
    </row>
    <row r="13" ht="15.75" customHeight="1">
      <c r="A13" s="27"/>
      <c r="B13" s="27"/>
      <c r="C13" s="28"/>
      <c r="D13" s="11"/>
      <c r="F13" s="8"/>
      <c r="I13" s="12"/>
    </row>
    <row r="14" ht="15.75" customHeight="1">
      <c r="A14" s="33" t="s">
        <v>34</v>
      </c>
      <c r="F14" s="8"/>
      <c r="G14" s="13"/>
      <c r="I14" s="14"/>
    </row>
    <row r="15" ht="15.75" customHeight="1">
      <c r="A15" s="8" t="s">
        <v>35</v>
      </c>
      <c r="C15" s="8">
        <v>61.0</v>
      </c>
      <c r="F15" s="8"/>
      <c r="G15" s="13"/>
      <c r="I15" s="14"/>
    </row>
    <row r="16" ht="15.75" customHeight="1">
      <c r="A16" s="34">
        <f>IFERROR(__xludf.DUMMYFUNCTION("FILTER(A2:C11,B2:B11&gt;C15)"),168.0)</f>
        <v>168</v>
      </c>
      <c r="B16" s="34">
        <f>IFERROR(__xludf.DUMMYFUNCTION("""COMPUTED_VALUE"""),62.0)</f>
        <v>62</v>
      </c>
      <c r="C16" s="34">
        <f>IFERROR(__xludf.DUMMYFUNCTION("""COMPUTED_VALUE"""),7.85)</f>
        <v>7.85</v>
      </c>
      <c r="I16" s="29"/>
    </row>
    <row r="17" ht="15.75" customHeight="1">
      <c r="A17" s="34">
        <f>IFERROR(__xludf.DUMMYFUNCTION("""COMPUTED_VALUE"""),180.0)</f>
        <v>180</v>
      </c>
      <c r="B17" s="34">
        <f>IFERROR(__xludf.DUMMYFUNCTION("""COMPUTED_VALUE"""),62.0)</f>
        <v>62</v>
      </c>
      <c r="C17" s="34">
        <f>IFERROR(__xludf.DUMMYFUNCTION("""COMPUTED_VALUE"""),8.0)</f>
        <v>8</v>
      </c>
      <c r="F17" s="8"/>
      <c r="I17" s="12"/>
    </row>
    <row r="18" ht="15.75" customHeight="1">
      <c r="A18" s="34">
        <f>IFERROR(__xludf.DUMMYFUNCTION("""COMPUTED_VALUE"""),170.0)</f>
        <v>170</v>
      </c>
      <c r="B18" s="34">
        <f>IFERROR(__xludf.DUMMYFUNCTION("""COMPUTED_VALUE"""),64.0)</f>
        <v>64</v>
      </c>
      <c r="C18" s="34">
        <f>IFERROR(__xludf.DUMMYFUNCTION("""COMPUTED_VALUE"""),7.95)</f>
        <v>7.95</v>
      </c>
      <c r="F18" s="8"/>
      <c r="G18" s="13"/>
      <c r="I18" s="14"/>
    </row>
    <row r="19" ht="15.75" customHeight="1">
      <c r="A19" s="34">
        <f>IFERROR(__xludf.DUMMYFUNCTION("""COMPUTED_VALUE"""),175.0)</f>
        <v>175</v>
      </c>
      <c r="B19" s="34">
        <f>IFERROR(__xludf.DUMMYFUNCTION("""COMPUTED_VALUE"""),65.0)</f>
        <v>65</v>
      </c>
      <c r="C19" s="34">
        <f>IFERROR(__xludf.DUMMYFUNCTION("""COMPUTED_VALUE"""),7.9)</f>
        <v>7.9</v>
      </c>
      <c r="F19" s="8"/>
      <c r="G19" s="13"/>
      <c r="I19" s="14"/>
    </row>
    <row r="20" ht="15.75" customHeight="1">
      <c r="I20" s="29"/>
    </row>
    <row r="21" ht="15.75" customHeight="1">
      <c r="F21" s="8"/>
      <c r="I21" s="12"/>
    </row>
    <row r="22" ht="15.75" customHeight="1">
      <c r="F22" s="8"/>
      <c r="G22" s="13"/>
      <c r="I22" s="14"/>
    </row>
    <row r="23" ht="15.75" customHeight="1">
      <c r="F23" s="8"/>
      <c r="G23" s="13"/>
      <c r="I23" s="14"/>
    </row>
    <row r="24" ht="15.75" customHeight="1">
      <c r="I24" s="29"/>
    </row>
    <row r="25" ht="15.75" customHeight="1">
      <c r="F25" s="8"/>
      <c r="I25" s="12"/>
    </row>
    <row r="26" ht="15.75" customHeight="1">
      <c r="F26" s="8"/>
      <c r="G26" s="13"/>
      <c r="I26" s="14"/>
    </row>
    <row r="27" ht="15.75" customHeight="1">
      <c r="F27" s="8"/>
      <c r="G27" s="13"/>
      <c r="I27" s="14"/>
    </row>
    <row r="28" ht="15.75" customHeight="1">
      <c r="I28" s="29"/>
    </row>
    <row r="29" ht="15.75" customHeight="1">
      <c r="F29" s="8"/>
      <c r="I29" s="12"/>
    </row>
    <row r="30" ht="15.75" customHeight="1">
      <c r="F30" s="8"/>
      <c r="G30" s="13"/>
      <c r="I30" s="14"/>
    </row>
    <row r="31" ht="15.75" customHeight="1">
      <c r="F31" s="8"/>
      <c r="G31" s="13"/>
      <c r="I31" s="14"/>
    </row>
    <row r="32" ht="15.75" customHeight="1">
      <c r="I32" s="2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5:B15"/>
    <mergeCell ref="A14:C14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9.33"/>
    <col customWidth="1" min="3" max="3" width="9.56"/>
    <col customWidth="1" min="4" max="4" width="10.56"/>
    <col customWidth="1" min="5" max="5" width="16.67"/>
    <col customWidth="1" min="6" max="8" width="10.56"/>
    <col customWidth="1" min="9" max="9" width="14.78"/>
    <col customWidth="1" min="10" max="10" width="23.56"/>
    <col customWidth="1" min="11" max="17" width="10.56"/>
  </cols>
  <sheetData>
    <row r="1" ht="15.75" customHeight="1">
      <c r="A1" s="2" t="s">
        <v>11</v>
      </c>
      <c r="B1" s="2" t="s">
        <v>12</v>
      </c>
      <c r="C1" s="2" t="s">
        <v>13</v>
      </c>
      <c r="E1" s="8" t="s">
        <v>33</v>
      </c>
      <c r="F1" s="8">
        <v>62.0</v>
      </c>
      <c r="I1" s="12" t="s">
        <v>18</v>
      </c>
    </row>
    <row r="2" ht="15.75" customHeight="1">
      <c r="A2" s="2">
        <v>165.0</v>
      </c>
      <c r="B2" s="2">
        <v>55.0</v>
      </c>
      <c r="C2" s="2">
        <v>7.5</v>
      </c>
      <c r="D2" s="11"/>
      <c r="F2" s="8" t="s">
        <v>19</v>
      </c>
      <c r="G2" s="13">
        <f>AVERAGEIF(B$16:B$19,"&lt;="&amp;F1,C$16:C$19)</f>
        <v>7.925</v>
      </c>
      <c r="H2" s="9">
        <f>COUNTIFS(B$16:B$19, "&lt;="&amp;F1)</f>
        <v>2</v>
      </c>
      <c r="I2" s="14">
        <f>IFERROR(__xludf.DUMMYFUNCTION("(SUMPRODUCT(FILTER($C$16:$C$19,$B$16:$B$19&lt;=F1),FILTER($C$16:$C$19,$B$16:$B$19&lt;=F1))-2*$G2*SUM(FILTER($C$16:$C$19,$B$16:$B$19&lt;=F1))+$H2*$G2^2)"),0.011250000000003979)</f>
        <v>0.01125</v>
      </c>
    </row>
    <row r="3" ht="15.75" customHeight="1">
      <c r="A3" s="2">
        <v>169.0</v>
      </c>
      <c r="B3" s="2">
        <v>57.0</v>
      </c>
      <c r="C3" s="2">
        <v>7.65</v>
      </c>
      <c r="D3" s="11"/>
      <c r="F3" s="8" t="s">
        <v>20</v>
      </c>
      <c r="G3" s="13">
        <f>AVERAGEIF(B$16:B$19,"&gt;"&amp;F1,C$16:C$19)</f>
        <v>7.925</v>
      </c>
      <c r="H3" s="9">
        <f>COUNT(B$16:B$19)-$H2</f>
        <v>2</v>
      </c>
      <c r="I3" s="14">
        <f>IFERROR(__xludf.DUMMYFUNCTION("(SUMPRODUCT(FILTER($C$16:$C$19,$B$16:$B$19&gt;F1),FILTER($C$16:$C$19,$B$16:$B$19&gt;F1))-2*$G3*SUM(FILTER($C$16:$C$19,$B$16:$B$19&gt;F1))+$H3*$G3^2)"),0.0012499999999846523)</f>
        <v>0.00125</v>
      </c>
    </row>
    <row r="4" ht="15.75" customHeight="1">
      <c r="A4" s="2">
        <v>168.0</v>
      </c>
      <c r="B4" s="2">
        <v>58.0</v>
      </c>
      <c r="C4" s="2">
        <v>7.6</v>
      </c>
      <c r="D4" s="11"/>
      <c r="I4" s="15">
        <f>SUM(I2:I3)</f>
        <v>0.0125</v>
      </c>
      <c r="J4" s="8" t="s">
        <v>32</v>
      </c>
    </row>
    <row r="5" ht="15.75" customHeight="1">
      <c r="A5" s="2">
        <v>160.0</v>
      </c>
      <c r="B5" s="2">
        <v>59.0</v>
      </c>
      <c r="C5" s="2">
        <v>7.3</v>
      </c>
      <c r="D5" s="11"/>
      <c r="F5" s="23">
        <v>64.0</v>
      </c>
      <c r="I5" s="12" t="s">
        <v>18</v>
      </c>
      <c r="J5" s="24"/>
    </row>
    <row r="6" ht="15.75" customHeight="1">
      <c r="A6" s="2">
        <v>170.0</v>
      </c>
      <c r="B6" s="2">
        <v>60.0</v>
      </c>
      <c r="C6" s="2">
        <v>7.8</v>
      </c>
      <c r="D6" s="11"/>
      <c r="F6" s="8" t="s">
        <v>19</v>
      </c>
      <c r="G6" s="13">
        <f>AVERAGEIF(B$16:B$19,"&lt;="&amp;F5,C$16:C$19)</f>
        <v>7.933333333</v>
      </c>
      <c r="H6" s="9">
        <f>COUNTIFS(B$16:B$19, "&lt;="&amp;F5)</f>
        <v>3</v>
      </c>
      <c r="I6" s="14">
        <f>IFERROR(__xludf.DUMMYFUNCTION("(SUMPRODUCT(FILTER($C$16:$C$19,$B$16:$B$19&lt;=F5),FILTER($C$16:$C$19,$B$16:$B$19&lt;=F5))-2*$G6*SUM(FILTER($C$16:$C$19,$B$16:$B$19&lt;=F5))+$H6*$G6^2)"),0.011666666666656056)</f>
        <v>0.01166666667</v>
      </c>
    </row>
    <row r="7" ht="15.75" customHeight="1">
      <c r="A7" s="2">
        <v>174.0</v>
      </c>
      <c r="B7" s="2">
        <v>61.0</v>
      </c>
      <c r="C7" s="2">
        <v>7.55</v>
      </c>
      <c r="D7" s="11"/>
      <c r="F7" s="8" t="s">
        <v>20</v>
      </c>
      <c r="G7" s="13">
        <f>AVERAGEIF(B$16:B$19,"&gt;"&amp;F5,C$16:C$19)</f>
        <v>7.9</v>
      </c>
      <c r="H7" s="9">
        <f>COUNT(B$16:B$19)-$H6</f>
        <v>1</v>
      </c>
      <c r="I7" s="14">
        <f>IFERROR(__xludf.DUMMYFUNCTION("(SUMPRODUCT(FILTER($C$16:$C$19,$B$16:$B$19&gt;F5),FILTER($C$16:$C$19,$B$16:$B$19&gt;F5))-2*$G7*SUM(FILTER($C$16:$C$19,$B$16:$B$19&gt;F5))+$H7*$G7^2)"),0.0)</f>
        <v>0</v>
      </c>
    </row>
    <row r="8" ht="15.75" customHeight="1">
      <c r="A8" s="2">
        <v>168.0</v>
      </c>
      <c r="B8" s="2">
        <v>62.0</v>
      </c>
      <c r="C8" s="2">
        <v>7.85</v>
      </c>
      <c r="D8" s="11"/>
      <c r="I8" s="22">
        <f>SUM(I6:I7)</f>
        <v>0.01166666667</v>
      </c>
      <c r="J8" s="8" t="s">
        <v>32</v>
      </c>
    </row>
    <row r="9" ht="15.75" customHeight="1">
      <c r="A9" s="2">
        <v>180.0</v>
      </c>
      <c r="B9" s="2">
        <v>62.0</v>
      </c>
      <c r="C9" s="2">
        <v>8.0</v>
      </c>
      <c r="D9" s="11"/>
    </row>
    <row r="10" ht="15.75" customHeight="1">
      <c r="A10" s="2">
        <v>170.0</v>
      </c>
      <c r="B10" s="2">
        <v>64.0</v>
      </c>
      <c r="C10" s="2">
        <v>7.95</v>
      </c>
      <c r="D10" s="11"/>
    </row>
    <row r="11" ht="15.75" customHeight="1">
      <c r="A11" s="2">
        <v>175.0</v>
      </c>
      <c r="B11" s="2">
        <v>65.0</v>
      </c>
      <c r="C11" s="2">
        <v>7.9</v>
      </c>
      <c r="D11" s="11"/>
    </row>
    <row r="12" ht="15.75" customHeight="1">
      <c r="A12" s="25">
        <v>170.0</v>
      </c>
      <c r="B12" s="25">
        <v>70.0</v>
      </c>
      <c r="C12" s="26"/>
      <c r="D12" s="20"/>
    </row>
    <row r="13" ht="15.75" customHeight="1">
      <c r="A13" s="27"/>
      <c r="B13" s="27"/>
      <c r="C13" s="28"/>
      <c r="D13" s="11"/>
      <c r="F13" s="8"/>
      <c r="I13" s="12"/>
    </row>
    <row r="14" ht="15.75" customHeight="1">
      <c r="A14" s="33" t="s">
        <v>34</v>
      </c>
      <c r="F14" s="8"/>
      <c r="G14" s="13"/>
      <c r="I14" s="14"/>
    </row>
    <row r="15" ht="15.75" customHeight="1">
      <c r="A15" s="8" t="s">
        <v>35</v>
      </c>
      <c r="C15" s="8">
        <v>61.0</v>
      </c>
      <c r="F15" s="8"/>
      <c r="G15" s="13"/>
      <c r="I15" s="14"/>
    </row>
    <row r="16" ht="15.75" customHeight="1">
      <c r="A16" s="34">
        <f>IFERROR(__xludf.DUMMYFUNCTION("FILTER(A2:C11,B2:B11&gt;C15)"),168.0)</f>
        <v>168</v>
      </c>
      <c r="B16" s="34">
        <f>IFERROR(__xludf.DUMMYFUNCTION("""COMPUTED_VALUE"""),62.0)</f>
        <v>62</v>
      </c>
      <c r="C16" s="34">
        <f>IFERROR(__xludf.DUMMYFUNCTION("""COMPUTED_VALUE"""),7.85)</f>
        <v>7.85</v>
      </c>
      <c r="I16" s="35"/>
    </row>
    <row r="17" ht="15.75" customHeight="1">
      <c r="A17" s="34">
        <f>IFERROR(__xludf.DUMMYFUNCTION("""COMPUTED_VALUE"""),180.0)</f>
        <v>180</v>
      </c>
      <c r="B17" s="34">
        <f>IFERROR(__xludf.DUMMYFUNCTION("""COMPUTED_VALUE"""),62.0)</f>
        <v>62</v>
      </c>
      <c r="C17" s="34">
        <f>IFERROR(__xludf.DUMMYFUNCTION("""COMPUTED_VALUE"""),8.0)</f>
        <v>8</v>
      </c>
      <c r="F17" s="8"/>
      <c r="I17" s="12"/>
    </row>
    <row r="18" ht="15.75" customHeight="1">
      <c r="A18" s="34">
        <f>IFERROR(__xludf.DUMMYFUNCTION("""COMPUTED_VALUE"""),170.0)</f>
        <v>170</v>
      </c>
      <c r="B18" s="34">
        <f>IFERROR(__xludf.DUMMYFUNCTION("""COMPUTED_VALUE"""),64.0)</f>
        <v>64</v>
      </c>
      <c r="C18" s="34">
        <f>IFERROR(__xludf.DUMMYFUNCTION("""COMPUTED_VALUE"""),7.95)</f>
        <v>7.95</v>
      </c>
      <c r="F18" s="8"/>
      <c r="G18" s="13"/>
      <c r="I18" s="14"/>
    </row>
    <row r="19" ht="15.75" customHeight="1">
      <c r="A19" s="34">
        <f>IFERROR(__xludf.DUMMYFUNCTION("""COMPUTED_VALUE"""),175.0)</f>
        <v>175</v>
      </c>
      <c r="B19" s="34">
        <f>IFERROR(__xludf.DUMMYFUNCTION("""COMPUTED_VALUE"""),65.0)</f>
        <v>65</v>
      </c>
      <c r="C19" s="34">
        <f>IFERROR(__xludf.DUMMYFUNCTION("""COMPUTED_VALUE"""),7.9)</f>
        <v>7.9</v>
      </c>
      <c r="F19" s="8"/>
      <c r="G19" s="13"/>
      <c r="I19" s="14"/>
    </row>
    <row r="20" ht="15.75" customHeight="1">
      <c r="I20" s="29"/>
    </row>
    <row r="21" ht="15.75" customHeight="1">
      <c r="F21" s="8"/>
      <c r="I21" s="12"/>
    </row>
    <row r="22" ht="15.75" customHeight="1">
      <c r="F22" s="8"/>
      <c r="G22" s="13"/>
      <c r="I22" s="14"/>
    </row>
    <row r="23" ht="15.75" customHeight="1">
      <c r="F23" s="8"/>
      <c r="G23" s="13"/>
      <c r="I23" s="14"/>
    </row>
    <row r="24" ht="15.75" customHeight="1">
      <c r="I24" s="29"/>
    </row>
    <row r="25" ht="15.75" customHeight="1">
      <c r="F25" s="8"/>
      <c r="I25" s="12"/>
    </row>
    <row r="26" ht="15.75" customHeight="1">
      <c r="F26" s="8"/>
      <c r="G26" s="13"/>
      <c r="I26" s="14"/>
    </row>
    <row r="27" ht="15.75" customHeight="1">
      <c r="F27" s="8"/>
      <c r="G27" s="13"/>
      <c r="I27" s="14"/>
    </row>
    <row r="28" ht="15.75" customHeight="1">
      <c r="I28" s="29"/>
    </row>
    <row r="29" ht="15.75" customHeight="1">
      <c r="F29" s="8"/>
      <c r="I29" s="12"/>
    </row>
    <row r="30" ht="15.75" customHeight="1">
      <c r="F30" s="8"/>
      <c r="G30" s="13"/>
      <c r="I30" s="14"/>
    </row>
    <row r="31" ht="15.75" customHeight="1">
      <c r="F31" s="8"/>
      <c r="G31" s="13"/>
      <c r="I31" s="14"/>
    </row>
    <row r="32" ht="15.75" customHeight="1">
      <c r="I32" s="2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5:B15"/>
    <mergeCell ref="A14:C14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89"/>
    <col customWidth="1" min="2" max="2" width="6.0"/>
    <col customWidth="1" min="3" max="3" width="4.0"/>
    <col customWidth="1" min="4" max="4" width="4.33"/>
    <col customWidth="1" min="5" max="5" width="5.78"/>
    <col customWidth="1" min="6" max="6" width="5.11"/>
    <col customWidth="1" min="7" max="7" width="4.78"/>
    <col customWidth="1" min="8" max="8" width="4.11"/>
    <col customWidth="1" min="9" max="9" width="6.67"/>
    <col customWidth="1" min="10" max="10" width="7.78"/>
    <col customWidth="1" min="11" max="11" width="5.44"/>
    <col customWidth="1" min="12" max="16" width="10.56"/>
    <col customWidth="1" min="17" max="17" width="10.78"/>
    <col customWidth="1" min="18" max="18" width="13.11"/>
    <col customWidth="1" min="19" max="19" width="13.33"/>
    <col customWidth="1" min="20" max="26" width="10.56"/>
  </cols>
  <sheetData>
    <row r="1" ht="15.75" customHeight="1">
      <c r="A1" s="2" t="s">
        <v>36</v>
      </c>
      <c r="B1" s="2" t="s">
        <v>37</v>
      </c>
      <c r="C1" s="5"/>
      <c r="D1" s="5"/>
      <c r="E1" s="5"/>
      <c r="F1" s="5"/>
      <c r="G1" s="5"/>
      <c r="H1" s="5"/>
      <c r="I1" s="5"/>
      <c r="J1" s="5"/>
      <c r="K1" s="5" t="s">
        <v>38</v>
      </c>
      <c r="M1" s="9" t="s">
        <v>39</v>
      </c>
      <c r="N1" s="9" t="s">
        <v>19</v>
      </c>
      <c r="O1" s="9" t="s">
        <v>20</v>
      </c>
      <c r="P1" s="9" t="s">
        <v>23</v>
      </c>
      <c r="Q1" s="36" t="s">
        <v>40</v>
      </c>
    </row>
    <row r="2" ht="15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 t="s">
        <v>19</v>
      </c>
      <c r="M2" s="9" t="s">
        <v>19</v>
      </c>
      <c r="N2" s="9">
        <f t="shared" ref="N2:O2" si="1">COUNTIFS($A$2:$A$13,$M2,$K$2:$K$13,N$1)</f>
        <v>0</v>
      </c>
      <c r="O2" s="9">
        <f t="shared" si="1"/>
        <v>0</v>
      </c>
      <c r="P2" s="9">
        <f t="shared" ref="P2:P3" si="3">SUM(N2:O2)</f>
        <v>0</v>
      </c>
      <c r="Q2" s="36" t="str">
        <f t="shared" ref="Q2:Q3" si="4">1-(N2/P2)^2-(O2/P2)^2</f>
        <v>#DIV/0!</v>
      </c>
    </row>
    <row r="3" ht="15.7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 t="s">
        <v>20</v>
      </c>
      <c r="M3" s="9" t="s">
        <v>20</v>
      </c>
      <c r="N3" s="9">
        <f t="shared" ref="N3:O3" si="2">COUNTIFS($A$2:$A$13,$M3,$K$2:$K$13,N$1)</f>
        <v>0</v>
      </c>
      <c r="O3" s="9">
        <f t="shared" si="2"/>
        <v>0</v>
      </c>
      <c r="P3" s="9">
        <f t="shared" si="3"/>
        <v>0</v>
      </c>
      <c r="Q3" s="36" t="str">
        <f t="shared" si="4"/>
        <v>#DIV/0!</v>
      </c>
    </row>
    <row r="4" ht="15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 t="s">
        <v>19</v>
      </c>
      <c r="P4" s="9">
        <f>SUM(P2:P3)</f>
        <v>0</v>
      </c>
      <c r="Q4" s="37" t="str">
        <f>Q2*P2/P4+Q3*P3/P4</f>
        <v>#DIV/0!</v>
      </c>
      <c r="R4" s="9" t="s">
        <v>41</v>
      </c>
    </row>
    <row r="5" ht="15.75" customHeight="1">
      <c r="A5" s="5"/>
      <c r="B5" s="5"/>
      <c r="C5" s="5"/>
      <c r="D5" s="5"/>
      <c r="E5" s="5"/>
      <c r="F5" s="5"/>
      <c r="G5" s="5"/>
      <c r="H5" s="5"/>
      <c r="I5" s="5"/>
      <c r="J5" s="38"/>
      <c r="K5" s="5" t="s">
        <v>19</v>
      </c>
      <c r="M5" s="9" t="s">
        <v>42</v>
      </c>
      <c r="N5" s="9" t="s">
        <v>19</v>
      </c>
      <c r="O5" s="9" t="s">
        <v>20</v>
      </c>
      <c r="P5" s="9" t="s">
        <v>23</v>
      </c>
      <c r="Q5" s="36" t="s">
        <v>40</v>
      </c>
    </row>
    <row r="6" ht="15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 t="s">
        <v>20</v>
      </c>
      <c r="M6" s="9" t="s">
        <v>19</v>
      </c>
      <c r="N6" s="9">
        <f t="shared" ref="N6:O6" si="5">COUNTIFS($D$2:$D$13,$M6,$K$2:$K$13,N$5)</f>
        <v>0</v>
      </c>
      <c r="O6" s="9">
        <f t="shared" si="5"/>
        <v>0</v>
      </c>
      <c r="P6" s="9">
        <f t="shared" ref="P6:P7" si="7">SUM(N6:O6)</f>
        <v>0</v>
      </c>
      <c r="Q6" s="36" t="str">
        <f t="shared" ref="Q6:Q7" si="8">1-(N6/P6)^2-(O6/P6)^2</f>
        <v>#DIV/0!</v>
      </c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 t="s">
        <v>19</v>
      </c>
      <c r="M7" s="9" t="s">
        <v>20</v>
      </c>
      <c r="N7" s="9">
        <f t="shared" ref="N7:O7" si="6">COUNTIFS($D$2:$D$13,$M7,$K$2:$K$13,N$5)</f>
        <v>0</v>
      </c>
      <c r="O7" s="9">
        <f t="shared" si="6"/>
        <v>0</v>
      </c>
      <c r="P7" s="9">
        <f t="shared" si="7"/>
        <v>0</v>
      </c>
      <c r="Q7" s="36" t="str">
        <f t="shared" si="8"/>
        <v>#DIV/0!</v>
      </c>
    </row>
    <row r="8" ht="15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 t="s">
        <v>20</v>
      </c>
      <c r="P8" s="9">
        <f>SUM(P6:P7)</f>
        <v>0</v>
      </c>
      <c r="Q8" s="37" t="str">
        <f>Q6*P6/P8+Q7*P7/P8</f>
        <v>#DIV/0!</v>
      </c>
      <c r="R8" s="9" t="s">
        <v>43</v>
      </c>
    </row>
    <row r="9" ht="15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 t="s">
        <v>19</v>
      </c>
      <c r="M9" s="9" t="s">
        <v>44</v>
      </c>
      <c r="N9" s="9" t="s">
        <v>19</v>
      </c>
      <c r="O9" s="9" t="s">
        <v>20</v>
      </c>
      <c r="P9" s="9" t="s">
        <v>23</v>
      </c>
      <c r="Q9" s="36" t="s">
        <v>40</v>
      </c>
    </row>
    <row r="10" ht="15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 t="s">
        <v>20</v>
      </c>
      <c r="M10" s="9" t="s">
        <v>45</v>
      </c>
      <c r="N10" s="9">
        <f t="shared" ref="N10:O10" si="9">COUNTIFS($E$2:$E$13,$M10,$K$2:$K$13,N$9)</f>
        <v>0</v>
      </c>
      <c r="O10" s="9">
        <f t="shared" si="9"/>
        <v>0</v>
      </c>
      <c r="P10" s="9">
        <f t="shared" ref="P10:P12" si="11">SUM(N10:O10)</f>
        <v>0</v>
      </c>
      <c r="Q10" s="36" t="str">
        <f t="shared" ref="Q10:Q12" si="12">1-(N10/P10)^2-(O10/P10)^2</f>
        <v>#DIV/0!</v>
      </c>
    </row>
    <row r="11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 t="s">
        <v>20</v>
      </c>
      <c r="M11" s="9" t="s">
        <v>46</v>
      </c>
      <c r="N11" s="9">
        <f t="shared" ref="N11:O11" si="10">COUNTIFS($E$2:$E$13,$M11,$K$2:$K$13,N$9)</f>
        <v>0</v>
      </c>
      <c r="O11" s="9">
        <f t="shared" si="10"/>
        <v>0</v>
      </c>
      <c r="P11" s="9">
        <f t="shared" si="11"/>
        <v>0</v>
      </c>
      <c r="Q11" s="36" t="str">
        <f t="shared" si="12"/>
        <v>#DIV/0!</v>
      </c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 t="s">
        <v>20</v>
      </c>
      <c r="M12" s="9" t="s">
        <v>47</v>
      </c>
      <c r="N12" s="9">
        <f t="shared" ref="N12:O12" si="13">COUNTIFS($E$2:$E$13,$M12,$K$2:$K$13,N$9)</f>
        <v>0</v>
      </c>
      <c r="O12" s="9">
        <f t="shared" si="13"/>
        <v>0</v>
      </c>
      <c r="P12" s="9">
        <f t="shared" si="11"/>
        <v>0</v>
      </c>
      <c r="Q12" s="36" t="str">
        <f t="shared" si="12"/>
        <v>#DIV/0!</v>
      </c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 t="s">
        <v>19</v>
      </c>
      <c r="P13" s="9">
        <f>SUM(P10:P12)</f>
        <v>0</v>
      </c>
      <c r="Q13" s="37" t="str">
        <f>Q10*P10/P13+Q11*P11/P13+Q12*P12/P13</f>
        <v>#DIV/0!</v>
      </c>
      <c r="R13" s="9" t="s">
        <v>48</v>
      </c>
      <c r="S13" s="9" t="s">
        <v>49</v>
      </c>
    </row>
    <row r="14" ht="15.75" customHeight="1">
      <c r="Q14" s="36"/>
    </row>
    <row r="15" ht="15.75" customHeight="1">
      <c r="A15" s="39" t="s">
        <v>50</v>
      </c>
      <c r="M15" s="9" t="s">
        <v>39</v>
      </c>
      <c r="N15" s="9" t="s">
        <v>19</v>
      </c>
      <c r="O15" s="9" t="s">
        <v>20</v>
      </c>
      <c r="P15" s="9" t="s">
        <v>23</v>
      </c>
      <c r="Q15" s="36" t="s">
        <v>40</v>
      </c>
    </row>
    <row r="16" ht="15.75" customHeight="1">
      <c r="A16" s="5" t="s">
        <v>39</v>
      </c>
      <c r="B16" s="5" t="s">
        <v>51</v>
      </c>
      <c r="C16" s="5" t="s">
        <v>52</v>
      </c>
      <c r="D16" s="5" t="s">
        <v>42</v>
      </c>
      <c r="E16" s="5" t="s">
        <v>44</v>
      </c>
      <c r="F16" s="5" t="s">
        <v>53</v>
      </c>
      <c r="G16" s="5" t="s">
        <v>54</v>
      </c>
      <c r="H16" s="5" t="s">
        <v>55</v>
      </c>
      <c r="I16" s="5" t="s">
        <v>56</v>
      </c>
      <c r="J16" s="5" t="s">
        <v>57</v>
      </c>
      <c r="K16" s="5" t="s">
        <v>38</v>
      </c>
      <c r="M16" s="9" t="s">
        <v>19</v>
      </c>
      <c r="N16" s="9">
        <f t="shared" ref="N16:O16" si="14">COUNTIFS($A$17:$A$22,$M16,$K$17:$K$22,N$15)</f>
        <v>2</v>
      </c>
      <c r="O16" s="9">
        <f t="shared" si="14"/>
        <v>3</v>
      </c>
      <c r="P16" s="9">
        <f t="shared" ref="P16:P17" si="16">SUM(N16:O16)</f>
        <v>5</v>
      </c>
      <c r="Q16" s="36">
        <f t="shared" ref="Q16:Q17" si="17">1-(N16/P16)^2-(O16/P16)^2</f>
        <v>0.48</v>
      </c>
    </row>
    <row r="17" ht="15.75" customHeight="1">
      <c r="A17" s="5" t="s">
        <v>19</v>
      </c>
      <c r="B17" s="5" t="s">
        <v>20</v>
      </c>
      <c r="C17" s="5" t="s">
        <v>20</v>
      </c>
      <c r="D17" s="5" t="s">
        <v>19</v>
      </c>
      <c r="E17" s="5" t="s">
        <v>47</v>
      </c>
      <c r="F17" s="5" t="s">
        <v>58</v>
      </c>
      <c r="G17" s="5" t="s">
        <v>20</v>
      </c>
      <c r="H17" s="5" t="s">
        <v>20</v>
      </c>
      <c r="I17" s="5" t="s">
        <v>59</v>
      </c>
      <c r="J17" s="5" t="s">
        <v>60</v>
      </c>
      <c r="K17" s="5" t="s">
        <v>20</v>
      </c>
      <c r="M17" s="9" t="s">
        <v>20</v>
      </c>
      <c r="N17" s="9">
        <f t="shared" ref="N17:O17" si="15">COUNTIFS($A$17:$A$22,$M17,$K$17:$K$22,N$15)</f>
        <v>0</v>
      </c>
      <c r="O17" s="9">
        <f t="shared" si="15"/>
        <v>1</v>
      </c>
      <c r="P17" s="9">
        <f t="shared" si="16"/>
        <v>1</v>
      </c>
      <c r="Q17" s="36">
        <f t="shared" si="17"/>
        <v>0</v>
      </c>
    </row>
    <row r="18" ht="15.75" customHeight="1">
      <c r="A18" s="5" t="s">
        <v>19</v>
      </c>
      <c r="B18" s="5" t="s">
        <v>20</v>
      </c>
      <c r="C18" s="5" t="s">
        <v>19</v>
      </c>
      <c r="D18" s="5" t="s">
        <v>19</v>
      </c>
      <c r="E18" s="5" t="s">
        <v>47</v>
      </c>
      <c r="F18" s="5" t="s">
        <v>58</v>
      </c>
      <c r="G18" s="5" t="s">
        <v>19</v>
      </c>
      <c r="H18" s="5" t="s">
        <v>20</v>
      </c>
      <c r="I18" s="5" t="s">
        <v>59</v>
      </c>
      <c r="J18" s="38" t="s">
        <v>61</v>
      </c>
      <c r="K18" s="5" t="s">
        <v>19</v>
      </c>
      <c r="P18" s="9">
        <f>SUM(P16:P17)</f>
        <v>6</v>
      </c>
      <c r="Q18" s="37">
        <f>Q16*P16/P18+Q17*P17/P18</f>
        <v>0.4</v>
      </c>
      <c r="R18" s="9" t="s">
        <v>41</v>
      </c>
    </row>
    <row r="19" ht="15.75" customHeight="1">
      <c r="A19" s="5" t="s">
        <v>19</v>
      </c>
      <c r="B19" s="5" t="s">
        <v>20</v>
      </c>
      <c r="C19" s="5" t="s">
        <v>19</v>
      </c>
      <c r="D19" s="5" t="s">
        <v>20</v>
      </c>
      <c r="E19" s="5" t="s">
        <v>47</v>
      </c>
      <c r="F19" s="5" t="s">
        <v>62</v>
      </c>
      <c r="G19" s="5" t="s">
        <v>20</v>
      </c>
      <c r="H19" s="5" t="s">
        <v>19</v>
      </c>
      <c r="I19" s="5" t="s">
        <v>63</v>
      </c>
      <c r="J19" s="5" t="s">
        <v>64</v>
      </c>
      <c r="K19" s="5" t="s">
        <v>20</v>
      </c>
      <c r="M19" s="9" t="s">
        <v>42</v>
      </c>
      <c r="N19" s="9" t="s">
        <v>19</v>
      </c>
      <c r="O19" s="9" t="s">
        <v>20</v>
      </c>
      <c r="P19" s="9" t="s">
        <v>23</v>
      </c>
      <c r="Q19" s="36" t="s">
        <v>40</v>
      </c>
    </row>
    <row r="20" ht="15.75" customHeight="1">
      <c r="A20" s="5" t="s">
        <v>20</v>
      </c>
      <c r="B20" s="5" t="s">
        <v>19</v>
      </c>
      <c r="C20" s="5" t="s">
        <v>19</v>
      </c>
      <c r="D20" s="5" t="s">
        <v>20</v>
      </c>
      <c r="E20" s="5" t="s">
        <v>47</v>
      </c>
      <c r="F20" s="5" t="s">
        <v>58</v>
      </c>
      <c r="G20" s="5" t="s">
        <v>19</v>
      </c>
      <c r="H20" s="5" t="s">
        <v>20</v>
      </c>
      <c r="I20" s="5" t="s">
        <v>65</v>
      </c>
      <c r="J20" s="5" t="s">
        <v>64</v>
      </c>
      <c r="K20" s="5" t="s">
        <v>20</v>
      </c>
      <c r="M20" s="9" t="s">
        <v>19</v>
      </c>
      <c r="N20" s="9">
        <f t="shared" ref="N20:O20" si="18">COUNTIFS($D$17:$D$22,$M20,$K$17:$K$22,N$19)</f>
        <v>2</v>
      </c>
      <c r="O20" s="9">
        <f t="shared" si="18"/>
        <v>2</v>
      </c>
      <c r="P20" s="9">
        <f t="shared" ref="P20:P21" si="20">SUM(N20:O20)</f>
        <v>4</v>
      </c>
      <c r="Q20" s="36">
        <f t="shared" ref="Q20:Q21" si="21">1-(N20/P20)^2-(O20/P20)^2</f>
        <v>0.5</v>
      </c>
    </row>
    <row r="21" ht="15.75" customHeight="1">
      <c r="A21" s="5" t="s">
        <v>19</v>
      </c>
      <c r="B21" s="5" t="s">
        <v>19</v>
      </c>
      <c r="C21" s="5" t="s">
        <v>19</v>
      </c>
      <c r="D21" s="5" t="s">
        <v>19</v>
      </c>
      <c r="E21" s="5" t="s">
        <v>47</v>
      </c>
      <c r="F21" s="5" t="s">
        <v>62</v>
      </c>
      <c r="G21" s="5" t="s">
        <v>20</v>
      </c>
      <c r="H21" s="5" t="s">
        <v>19</v>
      </c>
      <c r="I21" s="5" t="s">
        <v>66</v>
      </c>
      <c r="J21" s="5" t="s">
        <v>61</v>
      </c>
      <c r="K21" s="5" t="s">
        <v>20</v>
      </c>
      <c r="M21" s="9" t="s">
        <v>20</v>
      </c>
      <c r="N21" s="9">
        <f t="shared" ref="N21:O21" si="19">COUNTIFS($D$17:$D$22,$M21,$K$17:$K$22,N$19)</f>
        <v>0</v>
      </c>
      <c r="O21" s="9">
        <f t="shared" si="19"/>
        <v>2</v>
      </c>
      <c r="P21" s="9">
        <f t="shared" si="20"/>
        <v>2</v>
      </c>
      <c r="Q21" s="36">
        <f t="shared" si="21"/>
        <v>0</v>
      </c>
    </row>
    <row r="22" ht="15.75" customHeight="1">
      <c r="A22" s="5" t="s">
        <v>19</v>
      </c>
      <c r="B22" s="5" t="s">
        <v>19</v>
      </c>
      <c r="C22" s="5" t="s">
        <v>19</v>
      </c>
      <c r="D22" s="5" t="s">
        <v>19</v>
      </c>
      <c r="E22" s="5" t="s">
        <v>47</v>
      </c>
      <c r="F22" s="5" t="s">
        <v>58</v>
      </c>
      <c r="G22" s="5" t="s">
        <v>20</v>
      </c>
      <c r="H22" s="5" t="s">
        <v>20</v>
      </c>
      <c r="I22" s="5" t="s">
        <v>65</v>
      </c>
      <c r="J22" s="5" t="s">
        <v>60</v>
      </c>
      <c r="K22" s="5" t="s">
        <v>19</v>
      </c>
      <c r="P22" s="9">
        <f>SUM(P20:P21)</f>
        <v>6</v>
      </c>
      <c r="Q22" s="37">
        <f>Q20*P20/P22+Q21*P21/P22</f>
        <v>0.3333333333</v>
      </c>
      <c r="R22" s="9" t="s">
        <v>43</v>
      </c>
      <c r="S22" s="9" t="s">
        <v>49</v>
      </c>
    </row>
    <row r="23" ht="15.75" customHeight="1">
      <c r="Q23" s="36"/>
    </row>
    <row r="24" ht="15.75" customHeight="1">
      <c r="Q24" s="36"/>
    </row>
    <row r="25" ht="15.75" customHeight="1">
      <c r="Q25" s="36"/>
    </row>
    <row r="26" ht="15.75" customHeight="1">
      <c r="Q26" s="36"/>
    </row>
    <row r="27" ht="15.75" customHeight="1">
      <c r="Q27" s="36"/>
    </row>
    <row r="28" ht="15.75" customHeight="1">
      <c r="Q28" s="36"/>
    </row>
    <row r="29" ht="15.75" customHeight="1">
      <c r="Q29" s="36"/>
    </row>
    <row r="30" ht="15.75" customHeight="1">
      <c r="Q30" s="36"/>
    </row>
    <row r="31" ht="15.75" customHeight="1">
      <c r="Q31" s="36"/>
    </row>
    <row r="32" ht="15.75" customHeight="1">
      <c r="Q32" s="36"/>
    </row>
    <row r="33" ht="15.75" customHeight="1">
      <c r="Q33" s="36"/>
    </row>
    <row r="34" ht="15.75" customHeight="1">
      <c r="Q34" s="36"/>
    </row>
    <row r="35" ht="15.75" customHeight="1">
      <c r="Q35" s="36"/>
    </row>
    <row r="36" ht="15.75" customHeight="1">
      <c r="Q36" s="36"/>
    </row>
    <row r="37" ht="15.75" customHeight="1">
      <c r="Q37" s="36"/>
    </row>
    <row r="38" ht="15.75" customHeight="1">
      <c r="Q38" s="36"/>
    </row>
    <row r="39" ht="15.75" customHeight="1">
      <c r="Q39" s="36"/>
    </row>
    <row r="40" ht="15.75" customHeight="1">
      <c r="Q40" s="36"/>
    </row>
    <row r="41" ht="15.75" customHeight="1">
      <c r="Q41" s="36"/>
    </row>
    <row r="42" ht="15.75" customHeight="1">
      <c r="Q42" s="36"/>
    </row>
    <row r="43" ht="15.75" customHeight="1">
      <c r="Q43" s="36"/>
    </row>
    <row r="44" ht="15.75" customHeight="1">
      <c r="Q44" s="36"/>
    </row>
    <row r="45" ht="15.75" customHeight="1">
      <c r="Q45" s="36"/>
    </row>
    <row r="46" ht="15.75" customHeight="1">
      <c r="Q46" s="36"/>
    </row>
    <row r="47" ht="15.75" customHeight="1">
      <c r="Q47" s="36"/>
    </row>
    <row r="48" ht="15.75" customHeight="1">
      <c r="Q48" s="36"/>
    </row>
    <row r="49" ht="15.75" customHeight="1">
      <c r="Q49" s="36"/>
    </row>
    <row r="50" ht="15.75" customHeight="1">
      <c r="Q50" s="36"/>
    </row>
    <row r="51" ht="15.75" customHeight="1">
      <c r="Q51" s="36"/>
    </row>
    <row r="52" ht="15.75" customHeight="1">
      <c r="Q52" s="36"/>
    </row>
    <row r="53" ht="15.75" customHeight="1">
      <c r="Q53" s="36"/>
    </row>
    <row r="54" ht="15.75" customHeight="1">
      <c r="Q54" s="36"/>
    </row>
    <row r="55" ht="15.75" customHeight="1">
      <c r="Q55" s="36"/>
    </row>
    <row r="56" ht="15.75" customHeight="1">
      <c r="Q56" s="36"/>
    </row>
    <row r="57" ht="15.75" customHeight="1">
      <c r="Q57" s="36"/>
    </row>
    <row r="58" ht="15.75" customHeight="1">
      <c r="Q58" s="36"/>
    </row>
    <row r="59" ht="15.75" customHeight="1">
      <c r="Q59" s="36"/>
    </row>
    <row r="60" ht="15.75" customHeight="1">
      <c r="Q60" s="36"/>
    </row>
    <row r="61" ht="15.75" customHeight="1">
      <c r="Q61" s="36"/>
    </row>
    <row r="62" ht="15.75" customHeight="1">
      <c r="Q62" s="36"/>
    </row>
    <row r="63" ht="15.75" customHeight="1">
      <c r="Q63" s="36"/>
    </row>
    <row r="64" ht="15.75" customHeight="1">
      <c r="Q64" s="36"/>
    </row>
    <row r="65" ht="15.75" customHeight="1">
      <c r="Q65" s="36"/>
    </row>
    <row r="66" ht="15.75" customHeight="1">
      <c r="Q66" s="36"/>
    </row>
    <row r="67" ht="15.75" customHeight="1">
      <c r="Q67" s="36"/>
    </row>
    <row r="68" ht="15.75" customHeight="1">
      <c r="Q68" s="36"/>
    </row>
    <row r="69" ht="15.75" customHeight="1">
      <c r="Q69" s="36"/>
    </row>
    <row r="70" ht="15.75" customHeight="1">
      <c r="Q70" s="36"/>
    </row>
    <row r="71" ht="15.75" customHeight="1">
      <c r="Q71" s="36"/>
    </row>
    <row r="72" ht="15.75" customHeight="1">
      <c r="Q72" s="36"/>
    </row>
    <row r="73" ht="15.75" customHeight="1">
      <c r="Q73" s="36"/>
    </row>
    <row r="74" ht="15.75" customHeight="1">
      <c r="Q74" s="36"/>
    </row>
    <row r="75" ht="15.75" customHeight="1">
      <c r="Q75" s="36"/>
    </row>
    <row r="76" ht="15.75" customHeight="1">
      <c r="Q76" s="36"/>
    </row>
    <row r="77" ht="15.75" customHeight="1">
      <c r="Q77" s="36"/>
    </row>
    <row r="78" ht="15.75" customHeight="1">
      <c r="Q78" s="36"/>
    </row>
    <row r="79" ht="15.75" customHeight="1">
      <c r="Q79" s="36"/>
    </row>
    <row r="80" ht="15.75" customHeight="1">
      <c r="Q80" s="36"/>
    </row>
    <row r="81" ht="15.75" customHeight="1">
      <c r="Q81" s="36"/>
    </row>
    <row r="82" ht="15.75" customHeight="1">
      <c r="Q82" s="36"/>
    </row>
    <row r="83" ht="15.75" customHeight="1">
      <c r="Q83" s="36"/>
    </row>
    <row r="84" ht="15.75" customHeight="1">
      <c r="Q84" s="36"/>
    </row>
    <row r="85" ht="15.75" customHeight="1">
      <c r="Q85" s="36"/>
    </row>
    <row r="86" ht="15.75" customHeight="1">
      <c r="Q86" s="36"/>
    </row>
    <row r="87" ht="15.75" customHeight="1">
      <c r="Q87" s="36"/>
    </row>
    <row r="88" ht="15.75" customHeight="1">
      <c r="Q88" s="36"/>
    </row>
    <row r="89" ht="15.75" customHeight="1">
      <c r="Q89" s="36"/>
    </row>
    <row r="90" ht="15.75" customHeight="1">
      <c r="Q90" s="36"/>
    </row>
    <row r="91" ht="15.75" customHeight="1">
      <c r="Q91" s="36"/>
    </row>
    <row r="92" ht="15.75" customHeight="1">
      <c r="Q92" s="36"/>
    </row>
    <row r="93" ht="15.75" customHeight="1">
      <c r="Q93" s="36"/>
    </row>
    <row r="94" ht="15.75" customHeight="1">
      <c r="Q94" s="36"/>
    </row>
    <row r="95" ht="15.75" customHeight="1">
      <c r="Q95" s="36"/>
    </row>
    <row r="96" ht="15.75" customHeight="1">
      <c r="Q96" s="36"/>
    </row>
    <row r="97" ht="15.75" customHeight="1">
      <c r="Q97" s="36"/>
    </row>
    <row r="98" ht="15.75" customHeight="1">
      <c r="Q98" s="36"/>
    </row>
    <row r="99" ht="15.75" customHeight="1">
      <c r="Q99" s="36"/>
    </row>
    <row r="100" ht="15.75" customHeight="1">
      <c r="Q100" s="36"/>
    </row>
    <row r="101" ht="15.75" customHeight="1">
      <c r="Q101" s="36"/>
    </row>
    <row r="102" ht="15.75" customHeight="1">
      <c r="Q102" s="36"/>
    </row>
    <row r="103" ht="15.75" customHeight="1">
      <c r="Q103" s="36"/>
    </row>
    <row r="104" ht="15.75" customHeight="1">
      <c r="Q104" s="36"/>
    </row>
    <row r="105" ht="15.75" customHeight="1">
      <c r="Q105" s="36"/>
    </row>
    <row r="106" ht="15.75" customHeight="1">
      <c r="Q106" s="36"/>
    </row>
    <row r="107" ht="15.75" customHeight="1">
      <c r="Q107" s="36"/>
    </row>
    <row r="108" ht="15.75" customHeight="1">
      <c r="Q108" s="36"/>
    </row>
    <row r="109" ht="15.75" customHeight="1">
      <c r="Q109" s="36"/>
    </row>
    <row r="110" ht="15.75" customHeight="1">
      <c r="Q110" s="36"/>
    </row>
    <row r="111" ht="15.75" customHeight="1">
      <c r="Q111" s="36"/>
    </row>
    <row r="112" ht="15.75" customHeight="1">
      <c r="Q112" s="36"/>
    </row>
    <row r="113" ht="15.75" customHeight="1">
      <c r="Q113" s="36"/>
    </row>
    <row r="114" ht="15.75" customHeight="1">
      <c r="Q114" s="36"/>
    </row>
    <row r="115" ht="15.75" customHeight="1">
      <c r="Q115" s="36"/>
    </row>
    <row r="116" ht="15.75" customHeight="1">
      <c r="Q116" s="36"/>
    </row>
    <row r="117" ht="15.75" customHeight="1">
      <c r="Q117" s="36"/>
    </row>
    <row r="118" ht="15.75" customHeight="1">
      <c r="Q118" s="36"/>
    </row>
    <row r="119" ht="15.75" customHeight="1">
      <c r="Q119" s="36"/>
    </row>
    <row r="120" ht="15.75" customHeight="1">
      <c r="Q120" s="36"/>
    </row>
    <row r="121" ht="15.75" customHeight="1">
      <c r="Q121" s="36"/>
    </row>
    <row r="122" ht="15.75" customHeight="1">
      <c r="Q122" s="36"/>
    </row>
    <row r="123" ht="15.75" customHeight="1">
      <c r="Q123" s="36"/>
    </row>
    <row r="124" ht="15.75" customHeight="1">
      <c r="Q124" s="36"/>
    </row>
    <row r="125" ht="15.75" customHeight="1">
      <c r="Q125" s="36"/>
    </row>
    <row r="126" ht="15.75" customHeight="1">
      <c r="Q126" s="36"/>
    </row>
    <row r="127" ht="15.75" customHeight="1">
      <c r="Q127" s="36"/>
    </row>
    <row r="128" ht="15.75" customHeight="1">
      <c r="Q128" s="36"/>
    </row>
    <row r="129" ht="15.75" customHeight="1">
      <c r="Q129" s="36"/>
    </row>
    <row r="130" ht="15.75" customHeight="1">
      <c r="Q130" s="36"/>
    </row>
    <row r="131" ht="15.75" customHeight="1">
      <c r="Q131" s="36"/>
    </row>
    <row r="132" ht="15.75" customHeight="1">
      <c r="Q132" s="36"/>
    </row>
    <row r="133" ht="15.75" customHeight="1">
      <c r="Q133" s="36"/>
    </row>
    <row r="134" ht="15.75" customHeight="1">
      <c r="Q134" s="36"/>
    </row>
    <row r="135" ht="15.75" customHeight="1">
      <c r="Q135" s="36"/>
    </row>
    <row r="136" ht="15.75" customHeight="1">
      <c r="Q136" s="36"/>
    </row>
    <row r="137" ht="15.75" customHeight="1">
      <c r="Q137" s="36"/>
    </row>
    <row r="138" ht="15.75" customHeight="1">
      <c r="Q138" s="36"/>
    </row>
    <row r="139" ht="15.75" customHeight="1">
      <c r="Q139" s="36"/>
    </row>
    <row r="140" ht="15.75" customHeight="1">
      <c r="Q140" s="36"/>
    </row>
    <row r="141" ht="15.75" customHeight="1">
      <c r="Q141" s="36"/>
    </row>
    <row r="142" ht="15.75" customHeight="1">
      <c r="Q142" s="36"/>
    </row>
    <row r="143" ht="15.75" customHeight="1">
      <c r="Q143" s="36"/>
    </row>
    <row r="144" ht="15.75" customHeight="1">
      <c r="Q144" s="36"/>
    </row>
    <row r="145" ht="15.75" customHeight="1">
      <c r="Q145" s="36"/>
    </row>
    <row r="146" ht="15.75" customHeight="1">
      <c r="Q146" s="36"/>
    </row>
    <row r="147" ht="15.75" customHeight="1">
      <c r="Q147" s="36"/>
    </row>
    <row r="148" ht="15.75" customHeight="1">
      <c r="Q148" s="36"/>
    </row>
    <row r="149" ht="15.75" customHeight="1">
      <c r="Q149" s="36"/>
    </row>
    <row r="150" ht="15.75" customHeight="1">
      <c r="Q150" s="36"/>
    </row>
    <row r="151" ht="15.75" customHeight="1">
      <c r="Q151" s="36"/>
    </row>
    <row r="152" ht="15.75" customHeight="1">
      <c r="Q152" s="36"/>
    </row>
    <row r="153" ht="15.75" customHeight="1">
      <c r="Q153" s="36"/>
    </row>
    <row r="154" ht="15.75" customHeight="1">
      <c r="Q154" s="36"/>
    </row>
    <row r="155" ht="15.75" customHeight="1">
      <c r="Q155" s="36"/>
    </row>
    <row r="156" ht="15.75" customHeight="1">
      <c r="Q156" s="36"/>
    </row>
    <row r="157" ht="15.75" customHeight="1">
      <c r="Q157" s="36"/>
    </row>
    <row r="158" ht="15.75" customHeight="1">
      <c r="Q158" s="36"/>
    </row>
    <row r="159" ht="15.75" customHeight="1">
      <c r="Q159" s="36"/>
    </row>
    <row r="160" ht="15.75" customHeight="1">
      <c r="Q160" s="36"/>
    </row>
    <row r="161" ht="15.75" customHeight="1">
      <c r="Q161" s="36"/>
    </row>
    <row r="162" ht="15.75" customHeight="1">
      <c r="Q162" s="36"/>
    </row>
    <row r="163" ht="15.75" customHeight="1">
      <c r="Q163" s="36"/>
    </row>
    <row r="164" ht="15.75" customHeight="1">
      <c r="Q164" s="36"/>
    </row>
    <row r="165" ht="15.75" customHeight="1">
      <c r="Q165" s="36"/>
    </row>
    <row r="166" ht="15.75" customHeight="1">
      <c r="Q166" s="36"/>
    </row>
    <row r="167" ht="15.75" customHeight="1">
      <c r="Q167" s="36"/>
    </row>
    <row r="168" ht="15.75" customHeight="1">
      <c r="Q168" s="36"/>
    </row>
    <row r="169" ht="15.75" customHeight="1">
      <c r="Q169" s="36"/>
    </row>
    <row r="170" ht="15.75" customHeight="1">
      <c r="Q170" s="36"/>
    </row>
    <row r="171" ht="15.75" customHeight="1">
      <c r="Q171" s="36"/>
    </row>
    <row r="172" ht="15.75" customHeight="1">
      <c r="Q172" s="36"/>
    </row>
    <row r="173" ht="15.75" customHeight="1">
      <c r="Q173" s="36"/>
    </row>
    <row r="174" ht="15.75" customHeight="1">
      <c r="Q174" s="36"/>
    </row>
    <row r="175" ht="15.75" customHeight="1">
      <c r="Q175" s="36"/>
    </row>
    <row r="176" ht="15.75" customHeight="1">
      <c r="Q176" s="36"/>
    </row>
    <row r="177" ht="15.75" customHeight="1">
      <c r="Q177" s="36"/>
    </row>
    <row r="178" ht="15.75" customHeight="1">
      <c r="Q178" s="36"/>
    </row>
    <row r="179" ht="15.75" customHeight="1">
      <c r="Q179" s="36"/>
    </row>
    <row r="180" ht="15.75" customHeight="1">
      <c r="Q180" s="36"/>
    </row>
    <row r="181" ht="15.75" customHeight="1">
      <c r="Q181" s="36"/>
    </row>
    <row r="182" ht="15.75" customHeight="1">
      <c r="Q182" s="36"/>
    </row>
    <row r="183" ht="15.75" customHeight="1">
      <c r="Q183" s="36"/>
    </row>
    <row r="184" ht="15.75" customHeight="1">
      <c r="Q184" s="36"/>
    </row>
    <row r="185" ht="15.75" customHeight="1">
      <c r="Q185" s="36"/>
    </row>
    <row r="186" ht="15.75" customHeight="1">
      <c r="Q186" s="36"/>
    </row>
    <row r="187" ht="15.75" customHeight="1">
      <c r="Q187" s="36"/>
    </row>
    <row r="188" ht="15.75" customHeight="1">
      <c r="Q188" s="36"/>
    </row>
    <row r="189" ht="15.75" customHeight="1">
      <c r="Q189" s="36"/>
    </row>
    <row r="190" ht="15.75" customHeight="1">
      <c r="Q190" s="36"/>
    </row>
    <row r="191" ht="15.75" customHeight="1">
      <c r="Q191" s="36"/>
    </row>
    <row r="192" ht="15.75" customHeight="1">
      <c r="Q192" s="36"/>
    </row>
    <row r="193" ht="15.75" customHeight="1">
      <c r="Q193" s="36"/>
    </row>
    <row r="194" ht="15.75" customHeight="1">
      <c r="Q194" s="36"/>
    </row>
    <row r="195" ht="15.75" customHeight="1">
      <c r="Q195" s="36"/>
    </row>
    <row r="196" ht="15.75" customHeight="1">
      <c r="Q196" s="36"/>
    </row>
    <row r="197" ht="15.75" customHeight="1">
      <c r="Q197" s="36"/>
    </row>
    <row r="198" ht="15.75" customHeight="1">
      <c r="Q198" s="36"/>
    </row>
    <row r="199" ht="15.75" customHeight="1">
      <c r="Q199" s="36"/>
    </row>
    <row r="200" ht="15.75" customHeight="1">
      <c r="Q200" s="36"/>
    </row>
    <row r="201" ht="15.75" customHeight="1">
      <c r="Q201" s="36"/>
    </row>
    <row r="202" ht="15.75" customHeight="1">
      <c r="Q202" s="36"/>
    </row>
    <row r="203" ht="15.75" customHeight="1">
      <c r="Q203" s="36"/>
    </row>
    <row r="204" ht="15.75" customHeight="1">
      <c r="Q204" s="36"/>
    </row>
    <row r="205" ht="15.75" customHeight="1">
      <c r="Q205" s="36"/>
    </row>
    <row r="206" ht="15.75" customHeight="1">
      <c r="Q206" s="36"/>
    </row>
    <row r="207" ht="15.75" customHeight="1">
      <c r="Q207" s="36"/>
    </row>
    <row r="208" ht="15.75" customHeight="1">
      <c r="Q208" s="36"/>
    </row>
    <row r="209" ht="15.75" customHeight="1">
      <c r="Q209" s="36"/>
    </row>
    <row r="210" ht="15.75" customHeight="1">
      <c r="Q210" s="36"/>
    </row>
    <row r="211" ht="15.75" customHeight="1">
      <c r="Q211" s="36"/>
    </row>
    <row r="212" ht="15.75" customHeight="1">
      <c r="Q212" s="36"/>
    </row>
    <row r="213" ht="15.75" customHeight="1">
      <c r="Q213" s="36"/>
    </row>
    <row r="214" ht="15.75" customHeight="1">
      <c r="Q214" s="36"/>
    </row>
    <row r="215" ht="15.75" customHeight="1">
      <c r="Q215" s="36"/>
    </row>
    <row r="216" ht="15.75" customHeight="1">
      <c r="Q216" s="36"/>
    </row>
    <row r="217" ht="15.75" customHeight="1">
      <c r="Q217" s="36"/>
    </row>
    <row r="218" ht="15.75" customHeight="1">
      <c r="Q218" s="36"/>
    </row>
    <row r="219" ht="15.75" customHeight="1">
      <c r="Q219" s="36"/>
    </row>
    <row r="220" ht="15.75" customHeight="1">
      <c r="Q220" s="36"/>
    </row>
    <row r="221" ht="15.75" customHeight="1">
      <c r="Q221" s="36"/>
    </row>
    <row r="222" ht="15.75" customHeight="1">
      <c r="Q222" s="36"/>
    </row>
    <row r="223" ht="15.75" customHeight="1">
      <c r="Q223" s="36"/>
    </row>
    <row r="224" ht="15.75" customHeight="1">
      <c r="Q224" s="36"/>
    </row>
    <row r="225" ht="15.75" customHeight="1">
      <c r="Q225" s="36"/>
    </row>
    <row r="226" ht="15.75" customHeight="1">
      <c r="Q226" s="36"/>
    </row>
    <row r="227" ht="15.75" customHeight="1">
      <c r="Q227" s="36"/>
    </row>
    <row r="228" ht="15.75" customHeight="1">
      <c r="Q228" s="36"/>
    </row>
    <row r="229" ht="15.75" customHeight="1">
      <c r="Q229" s="36"/>
    </row>
    <row r="230" ht="15.75" customHeight="1">
      <c r="Q230" s="36"/>
    </row>
    <row r="231" ht="15.75" customHeight="1">
      <c r="Q231" s="36"/>
    </row>
    <row r="232" ht="15.75" customHeight="1">
      <c r="Q232" s="36"/>
    </row>
    <row r="233" ht="15.75" customHeight="1">
      <c r="Q233" s="36"/>
    </row>
    <row r="234" ht="15.75" customHeight="1">
      <c r="Q234" s="36"/>
    </row>
    <row r="235" ht="15.75" customHeight="1">
      <c r="Q235" s="36"/>
    </row>
    <row r="236" ht="15.75" customHeight="1">
      <c r="Q236" s="36"/>
    </row>
    <row r="237" ht="15.75" customHeight="1">
      <c r="Q237" s="36"/>
    </row>
    <row r="238" ht="15.75" customHeight="1">
      <c r="Q238" s="36"/>
    </row>
    <row r="239" ht="15.75" customHeight="1">
      <c r="Q239" s="36"/>
    </row>
    <row r="240" ht="15.75" customHeight="1">
      <c r="Q240" s="36"/>
    </row>
    <row r="241" ht="15.75" customHeight="1">
      <c r="Q241" s="36"/>
    </row>
    <row r="242" ht="15.75" customHeight="1">
      <c r="Q242" s="36"/>
    </row>
    <row r="243" ht="15.75" customHeight="1">
      <c r="Q243" s="36"/>
    </row>
    <row r="244" ht="15.75" customHeight="1">
      <c r="Q244" s="36"/>
    </row>
    <row r="245" ht="15.75" customHeight="1">
      <c r="Q245" s="36"/>
    </row>
    <row r="246" ht="15.75" customHeight="1">
      <c r="Q246" s="36"/>
    </row>
    <row r="247" ht="15.75" customHeight="1">
      <c r="Q247" s="36"/>
    </row>
    <row r="248" ht="15.75" customHeight="1">
      <c r="Q248" s="36"/>
    </row>
    <row r="249" ht="15.75" customHeight="1">
      <c r="Q249" s="36"/>
    </row>
    <row r="250" ht="15.75" customHeight="1">
      <c r="Q250" s="36"/>
    </row>
    <row r="251" ht="15.75" customHeight="1">
      <c r="Q251" s="36"/>
    </row>
    <row r="252" ht="15.75" customHeight="1">
      <c r="Q252" s="36"/>
    </row>
    <row r="253" ht="15.75" customHeight="1">
      <c r="Q253" s="36"/>
    </row>
    <row r="254" ht="15.75" customHeight="1">
      <c r="Q254" s="36"/>
    </row>
    <row r="255" ht="15.75" customHeight="1">
      <c r="Q255" s="36"/>
    </row>
    <row r="256" ht="15.75" customHeight="1">
      <c r="Q256" s="36"/>
    </row>
    <row r="257" ht="15.75" customHeight="1">
      <c r="Q257" s="36"/>
    </row>
    <row r="258" ht="15.75" customHeight="1">
      <c r="Q258" s="36"/>
    </row>
    <row r="259" ht="15.75" customHeight="1">
      <c r="Q259" s="36"/>
    </row>
    <row r="260" ht="15.75" customHeight="1">
      <c r="Q260" s="36"/>
    </row>
    <row r="261" ht="15.75" customHeight="1">
      <c r="Q261" s="36"/>
    </row>
    <row r="262" ht="15.75" customHeight="1">
      <c r="Q262" s="36"/>
    </row>
    <row r="263" ht="15.75" customHeight="1">
      <c r="Q263" s="36"/>
    </row>
    <row r="264" ht="15.75" customHeight="1">
      <c r="Q264" s="36"/>
    </row>
    <row r="265" ht="15.75" customHeight="1">
      <c r="Q265" s="36"/>
    </row>
    <row r="266" ht="15.75" customHeight="1">
      <c r="Q266" s="36"/>
    </row>
    <row r="267" ht="15.75" customHeight="1">
      <c r="Q267" s="36"/>
    </row>
    <row r="268" ht="15.75" customHeight="1">
      <c r="Q268" s="36"/>
    </row>
    <row r="269" ht="15.75" customHeight="1">
      <c r="Q269" s="36"/>
    </row>
    <row r="270" ht="15.75" customHeight="1">
      <c r="Q270" s="36"/>
    </row>
    <row r="271" ht="15.75" customHeight="1">
      <c r="Q271" s="36"/>
    </row>
    <row r="272" ht="15.75" customHeight="1">
      <c r="Q272" s="36"/>
    </row>
    <row r="273" ht="15.75" customHeight="1">
      <c r="Q273" s="36"/>
    </row>
    <row r="274" ht="15.75" customHeight="1">
      <c r="Q274" s="36"/>
    </row>
    <row r="275" ht="15.75" customHeight="1">
      <c r="Q275" s="36"/>
    </row>
    <row r="276" ht="15.75" customHeight="1">
      <c r="Q276" s="36"/>
    </row>
    <row r="277" ht="15.75" customHeight="1">
      <c r="Q277" s="36"/>
    </row>
    <row r="278" ht="15.75" customHeight="1">
      <c r="Q278" s="36"/>
    </row>
    <row r="279" ht="15.75" customHeight="1">
      <c r="Q279" s="36"/>
    </row>
    <row r="280" ht="15.75" customHeight="1">
      <c r="Q280" s="36"/>
    </row>
    <row r="281" ht="15.75" customHeight="1">
      <c r="Q281" s="36"/>
    </row>
    <row r="282" ht="15.75" customHeight="1">
      <c r="Q282" s="36"/>
    </row>
    <row r="283" ht="15.75" customHeight="1">
      <c r="Q283" s="36"/>
    </row>
    <row r="284" ht="15.75" customHeight="1">
      <c r="Q284" s="36"/>
    </row>
    <row r="285" ht="15.75" customHeight="1">
      <c r="Q285" s="36"/>
    </row>
    <row r="286" ht="15.75" customHeight="1">
      <c r="Q286" s="36"/>
    </row>
    <row r="287" ht="15.75" customHeight="1">
      <c r="Q287" s="36"/>
    </row>
    <row r="288" ht="15.75" customHeight="1">
      <c r="Q288" s="36"/>
    </row>
    <row r="289" ht="15.75" customHeight="1">
      <c r="Q289" s="36"/>
    </row>
    <row r="290" ht="15.75" customHeight="1">
      <c r="Q290" s="36"/>
    </row>
    <row r="291" ht="15.75" customHeight="1">
      <c r="Q291" s="36"/>
    </row>
    <row r="292" ht="15.75" customHeight="1">
      <c r="Q292" s="36"/>
    </row>
    <row r="293" ht="15.75" customHeight="1">
      <c r="Q293" s="36"/>
    </row>
    <row r="294" ht="15.75" customHeight="1">
      <c r="Q294" s="36"/>
    </row>
    <row r="295" ht="15.75" customHeight="1">
      <c r="Q295" s="36"/>
    </row>
    <row r="296" ht="15.75" customHeight="1">
      <c r="Q296" s="36"/>
    </row>
    <row r="297" ht="15.75" customHeight="1">
      <c r="Q297" s="36"/>
    </row>
    <row r="298" ht="15.75" customHeight="1">
      <c r="Q298" s="36"/>
    </row>
    <row r="299" ht="15.75" customHeight="1">
      <c r="Q299" s="36"/>
    </row>
    <row r="300" ht="15.75" customHeight="1">
      <c r="Q300" s="36"/>
    </row>
    <row r="301" ht="15.75" customHeight="1">
      <c r="Q301" s="36"/>
    </row>
    <row r="302" ht="15.75" customHeight="1">
      <c r="Q302" s="36"/>
    </row>
    <row r="303" ht="15.75" customHeight="1">
      <c r="Q303" s="36"/>
    </row>
    <row r="304" ht="15.75" customHeight="1">
      <c r="Q304" s="36"/>
    </row>
    <row r="305" ht="15.75" customHeight="1">
      <c r="Q305" s="36"/>
    </row>
    <row r="306" ht="15.75" customHeight="1">
      <c r="Q306" s="36"/>
    </row>
    <row r="307" ht="15.75" customHeight="1">
      <c r="Q307" s="36"/>
    </row>
    <row r="308" ht="15.75" customHeight="1">
      <c r="Q308" s="36"/>
    </row>
    <row r="309" ht="15.75" customHeight="1">
      <c r="Q309" s="36"/>
    </row>
    <row r="310" ht="15.75" customHeight="1">
      <c r="Q310" s="36"/>
    </row>
    <row r="311" ht="15.75" customHeight="1">
      <c r="Q311" s="36"/>
    </row>
    <row r="312" ht="15.75" customHeight="1">
      <c r="Q312" s="36"/>
    </row>
    <row r="313" ht="15.75" customHeight="1">
      <c r="Q313" s="36"/>
    </row>
    <row r="314" ht="15.75" customHeight="1">
      <c r="Q314" s="36"/>
    </row>
    <row r="315" ht="15.75" customHeight="1">
      <c r="Q315" s="36"/>
    </row>
    <row r="316" ht="15.75" customHeight="1">
      <c r="Q316" s="36"/>
    </row>
    <row r="317" ht="15.75" customHeight="1">
      <c r="Q317" s="36"/>
    </row>
    <row r="318" ht="15.75" customHeight="1">
      <c r="Q318" s="36"/>
    </row>
    <row r="319" ht="15.75" customHeight="1">
      <c r="Q319" s="36"/>
    </row>
    <row r="320" ht="15.75" customHeight="1">
      <c r="Q320" s="36"/>
    </row>
    <row r="321" ht="15.75" customHeight="1">
      <c r="Q321" s="36"/>
    </row>
    <row r="322" ht="15.75" customHeight="1">
      <c r="Q322" s="36"/>
    </row>
    <row r="323" ht="15.75" customHeight="1">
      <c r="Q323" s="36"/>
    </row>
    <row r="324" ht="15.75" customHeight="1">
      <c r="Q324" s="36"/>
    </row>
    <row r="325" ht="15.75" customHeight="1">
      <c r="Q325" s="36"/>
    </row>
    <row r="326" ht="15.75" customHeight="1">
      <c r="Q326" s="36"/>
    </row>
    <row r="327" ht="15.75" customHeight="1">
      <c r="Q327" s="36"/>
    </row>
    <row r="328" ht="15.75" customHeight="1">
      <c r="Q328" s="36"/>
    </row>
    <row r="329" ht="15.75" customHeight="1">
      <c r="Q329" s="36"/>
    </row>
    <row r="330" ht="15.75" customHeight="1">
      <c r="Q330" s="36"/>
    </row>
    <row r="331" ht="15.75" customHeight="1">
      <c r="Q331" s="36"/>
    </row>
    <row r="332" ht="15.75" customHeight="1">
      <c r="Q332" s="36"/>
    </row>
    <row r="333" ht="15.75" customHeight="1">
      <c r="Q333" s="36"/>
    </row>
    <row r="334" ht="15.75" customHeight="1">
      <c r="Q334" s="36"/>
    </row>
    <row r="335" ht="15.75" customHeight="1">
      <c r="Q335" s="36"/>
    </row>
    <row r="336" ht="15.75" customHeight="1">
      <c r="Q336" s="36"/>
    </row>
    <row r="337" ht="15.75" customHeight="1">
      <c r="Q337" s="36"/>
    </row>
    <row r="338" ht="15.75" customHeight="1">
      <c r="Q338" s="36"/>
    </row>
    <row r="339" ht="15.75" customHeight="1">
      <c r="Q339" s="36"/>
    </row>
    <row r="340" ht="15.75" customHeight="1">
      <c r="Q340" s="36"/>
    </row>
    <row r="341" ht="15.75" customHeight="1">
      <c r="Q341" s="36"/>
    </row>
    <row r="342" ht="15.75" customHeight="1">
      <c r="Q342" s="36"/>
    </row>
    <row r="343" ht="15.75" customHeight="1">
      <c r="Q343" s="36"/>
    </row>
    <row r="344" ht="15.75" customHeight="1">
      <c r="Q344" s="36"/>
    </row>
    <row r="345" ht="15.75" customHeight="1">
      <c r="Q345" s="36"/>
    </row>
    <row r="346" ht="15.75" customHeight="1">
      <c r="Q346" s="36"/>
    </row>
    <row r="347" ht="15.75" customHeight="1">
      <c r="Q347" s="36"/>
    </row>
    <row r="348" ht="15.75" customHeight="1">
      <c r="Q348" s="36"/>
    </row>
    <row r="349" ht="15.75" customHeight="1">
      <c r="Q349" s="36"/>
    </row>
    <row r="350" ht="15.75" customHeight="1">
      <c r="Q350" s="36"/>
    </row>
    <row r="351" ht="15.75" customHeight="1">
      <c r="Q351" s="36"/>
    </row>
    <row r="352" ht="15.75" customHeight="1">
      <c r="Q352" s="36"/>
    </row>
    <row r="353" ht="15.75" customHeight="1">
      <c r="Q353" s="36"/>
    </row>
    <row r="354" ht="15.75" customHeight="1">
      <c r="Q354" s="36"/>
    </row>
    <row r="355" ht="15.75" customHeight="1">
      <c r="Q355" s="36"/>
    </row>
    <row r="356" ht="15.75" customHeight="1">
      <c r="Q356" s="36"/>
    </row>
    <row r="357" ht="15.75" customHeight="1">
      <c r="Q357" s="36"/>
    </row>
    <row r="358" ht="15.75" customHeight="1">
      <c r="Q358" s="36"/>
    </row>
    <row r="359" ht="15.75" customHeight="1">
      <c r="Q359" s="36"/>
    </row>
    <row r="360" ht="15.75" customHeight="1">
      <c r="Q360" s="36"/>
    </row>
    <row r="361" ht="15.75" customHeight="1">
      <c r="Q361" s="36"/>
    </row>
    <row r="362" ht="15.75" customHeight="1">
      <c r="Q362" s="36"/>
    </row>
    <row r="363" ht="15.75" customHeight="1">
      <c r="Q363" s="36"/>
    </row>
    <row r="364" ht="15.75" customHeight="1">
      <c r="Q364" s="36"/>
    </row>
    <row r="365" ht="15.75" customHeight="1">
      <c r="Q365" s="36"/>
    </row>
    <row r="366" ht="15.75" customHeight="1">
      <c r="Q366" s="36"/>
    </row>
    <row r="367" ht="15.75" customHeight="1">
      <c r="Q367" s="36"/>
    </row>
    <row r="368" ht="15.75" customHeight="1">
      <c r="Q368" s="36"/>
    </row>
    <row r="369" ht="15.75" customHeight="1">
      <c r="Q369" s="36"/>
    </row>
    <row r="370" ht="15.75" customHeight="1">
      <c r="Q370" s="36"/>
    </row>
    <row r="371" ht="15.75" customHeight="1">
      <c r="Q371" s="36"/>
    </row>
    <row r="372" ht="15.75" customHeight="1">
      <c r="Q372" s="36"/>
    </row>
    <row r="373" ht="15.75" customHeight="1">
      <c r="Q373" s="36"/>
    </row>
    <row r="374" ht="15.75" customHeight="1">
      <c r="Q374" s="36"/>
    </row>
    <row r="375" ht="15.75" customHeight="1">
      <c r="Q375" s="36"/>
    </row>
    <row r="376" ht="15.75" customHeight="1">
      <c r="Q376" s="36"/>
    </row>
    <row r="377" ht="15.75" customHeight="1">
      <c r="Q377" s="36"/>
    </row>
    <row r="378" ht="15.75" customHeight="1">
      <c r="Q378" s="36"/>
    </row>
    <row r="379" ht="15.75" customHeight="1">
      <c r="Q379" s="36"/>
    </row>
    <row r="380" ht="15.75" customHeight="1">
      <c r="Q380" s="36"/>
    </row>
    <row r="381" ht="15.75" customHeight="1">
      <c r="Q381" s="36"/>
    </row>
    <row r="382" ht="15.75" customHeight="1">
      <c r="Q382" s="36"/>
    </row>
    <row r="383" ht="15.75" customHeight="1">
      <c r="Q383" s="36"/>
    </row>
    <row r="384" ht="15.75" customHeight="1">
      <c r="Q384" s="36"/>
    </row>
    <row r="385" ht="15.75" customHeight="1">
      <c r="Q385" s="36"/>
    </row>
    <row r="386" ht="15.75" customHeight="1">
      <c r="Q386" s="36"/>
    </row>
    <row r="387" ht="15.75" customHeight="1">
      <c r="Q387" s="36"/>
    </row>
    <row r="388" ht="15.75" customHeight="1">
      <c r="Q388" s="36"/>
    </row>
    <row r="389" ht="15.75" customHeight="1">
      <c r="Q389" s="36"/>
    </row>
    <row r="390" ht="15.75" customHeight="1">
      <c r="Q390" s="36"/>
    </row>
    <row r="391" ht="15.75" customHeight="1">
      <c r="Q391" s="36"/>
    </row>
    <row r="392" ht="15.75" customHeight="1">
      <c r="Q392" s="36"/>
    </row>
    <row r="393" ht="15.75" customHeight="1">
      <c r="Q393" s="36"/>
    </row>
    <row r="394" ht="15.75" customHeight="1">
      <c r="Q394" s="36"/>
    </row>
    <row r="395" ht="15.75" customHeight="1">
      <c r="Q395" s="36"/>
    </row>
    <row r="396" ht="15.75" customHeight="1">
      <c r="Q396" s="36"/>
    </row>
    <row r="397" ht="15.75" customHeight="1">
      <c r="Q397" s="36"/>
    </row>
    <row r="398" ht="15.75" customHeight="1">
      <c r="Q398" s="36"/>
    </row>
    <row r="399" ht="15.75" customHeight="1">
      <c r="Q399" s="36"/>
    </row>
    <row r="400" ht="15.75" customHeight="1">
      <c r="Q400" s="36"/>
    </row>
    <row r="401" ht="15.75" customHeight="1">
      <c r="Q401" s="36"/>
    </row>
    <row r="402" ht="15.75" customHeight="1">
      <c r="Q402" s="36"/>
    </row>
    <row r="403" ht="15.75" customHeight="1">
      <c r="Q403" s="36"/>
    </row>
    <row r="404" ht="15.75" customHeight="1">
      <c r="Q404" s="36"/>
    </row>
    <row r="405" ht="15.75" customHeight="1">
      <c r="Q405" s="36"/>
    </row>
    <row r="406" ht="15.75" customHeight="1">
      <c r="Q406" s="36"/>
    </row>
    <row r="407" ht="15.75" customHeight="1">
      <c r="Q407" s="36"/>
    </row>
    <row r="408" ht="15.75" customHeight="1">
      <c r="Q408" s="36"/>
    </row>
    <row r="409" ht="15.75" customHeight="1">
      <c r="Q409" s="36"/>
    </row>
    <row r="410" ht="15.75" customHeight="1">
      <c r="Q410" s="36"/>
    </row>
    <row r="411" ht="15.75" customHeight="1">
      <c r="Q411" s="36"/>
    </row>
    <row r="412" ht="15.75" customHeight="1">
      <c r="Q412" s="36"/>
    </row>
    <row r="413" ht="15.75" customHeight="1">
      <c r="Q413" s="36"/>
    </row>
    <row r="414" ht="15.75" customHeight="1">
      <c r="Q414" s="36"/>
    </row>
    <row r="415" ht="15.75" customHeight="1">
      <c r="Q415" s="36"/>
    </row>
    <row r="416" ht="15.75" customHeight="1">
      <c r="Q416" s="36"/>
    </row>
    <row r="417" ht="15.75" customHeight="1">
      <c r="Q417" s="36"/>
    </row>
    <row r="418" ht="15.75" customHeight="1">
      <c r="Q418" s="36"/>
    </row>
    <row r="419" ht="15.75" customHeight="1">
      <c r="Q419" s="36"/>
    </row>
    <row r="420" ht="15.75" customHeight="1">
      <c r="Q420" s="36"/>
    </row>
    <row r="421" ht="15.75" customHeight="1">
      <c r="Q421" s="36"/>
    </row>
    <row r="422" ht="15.75" customHeight="1">
      <c r="Q422" s="36"/>
    </row>
    <row r="423" ht="15.75" customHeight="1">
      <c r="Q423" s="36"/>
    </row>
    <row r="424" ht="15.75" customHeight="1">
      <c r="Q424" s="36"/>
    </row>
    <row r="425" ht="15.75" customHeight="1">
      <c r="Q425" s="36"/>
    </row>
    <row r="426" ht="15.75" customHeight="1">
      <c r="Q426" s="36"/>
    </row>
    <row r="427" ht="15.75" customHeight="1">
      <c r="Q427" s="36"/>
    </row>
    <row r="428" ht="15.75" customHeight="1">
      <c r="Q428" s="36"/>
    </row>
    <row r="429" ht="15.75" customHeight="1">
      <c r="Q429" s="36"/>
    </row>
    <row r="430" ht="15.75" customHeight="1">
      <c r="Q430" s="36"/>
    </row>
    <row r="431" ht="15.75" customHeight="1">
      <c r="Q431" s="36"/>
    </row>
    <row r="432" ht="15.75" customHeight="1">
      <c r="Q432" s="36"/>
    </row>
    <row r="433" ht="15.75" customHeight="1">
      <c r="Q433" s="36"/>
    </row>
    <row r="434" ht="15.75" customHeight="1">
      <c r="Q434" s="36"/>
    </row>
    <row r="435" ht="15.75" customHeight="1">
      <c r="Q435" s="36"/>
    </row>
    <row r="436" ht="15.75" customHeight="1">
      <c r="Q436" s="36"/>
    </row>
    <row r="437" ht="15.75" customHeight="1">
      <c r="Q437" s="36"/>
    </row>
    <row r="438" ht="15.75" customHeight="1">
      <c r="Q438" s="36"/>
    </row>
    <row r="439" ht="15.75" customHeight="1">
      <c r="Q439" s="36"/>
    </row>
    <row r="440" ht="15.75" customHeight="1">
      <c r="Q440" s="36"/>
    </row>
    <row r="441" ht="15.75" customHeight="1">
      <c r="Q441" s="36"/>
    </row>
    <row r="442" ht="15.75" customHeight="1">
      <c r="Q442" s="36"/>
    </row>
    <row r="443" ht="15.75" customHeight="1">
      <c r="Q443" s="36"/>
    </row>
    <row r="444" ht="15.75" customHeight="1">
      <c r="Q444" s="36"/>
    </row>
    <row r="445" ht="15.75" customHeight="1">
      <c r="Q445" s="36"/>
    </row>
    <row r="446" ht="15.75" customHeight="1">
      <c r="Q446" s="36"/>
    </row>
    <row r="447" ht="15.75" customHeight="1">
      <c r="Q447" s="36"/>
    </row>
    <row r="448" ht="15.75" customHeight="1">
      <c r="Q448" s="36"/>
    </row>
    <row r="449" ht="15.75" customHeight="1">
      <c r="Q449" s="36"/>
    </row>
    <row r="450" ht="15.75" customHeight="1">
      <c r="Q450" s="36"/>
    </row>
    <row r="451" ht="15.75" customHeight="1">
      <c r="Q451" s="36"/>
    </row>
    <row r="452" ht="15.75" customHeight="1">
      <c r="Q452" s="36"/>
    </row>
    <row r="453" ht="15.75" customHeight="1">
      <c r="Q453" s="36"/>
    </row>
    <row r="454" ht="15.75" customHeight="1">
      <c r="Q454" s="36"/>
    </row>
    <row r="455" ht="15.75" customHeight="1">
      <c r="Q455" s="36"/>
    </row>
    <row r="456" ht="15.75" customHeight="1">
      <c r="Q456" s="36"/>
    </row>
    <row r="457" ht="15.75" customHeight="1">
      <c r="Q457" s="36"/>
    </row>
    <row r="458" ht="15.75" customHeight="1">
      <c r="Q458" s="36"/>
    </row>
    <row r="459" ht="15.75" customHeight="1">
      <c r="Q459" s="36"/>
    </row>
    <row r="460" ht="15.75" customHeight="1">
      <c r="Q460" s="36"/>
    </row>
    <row r="461" ht="15.75" customHeight="1">
      <c r="Q461" s="36"/>
    </row>
    <row r="462" ht="15.75" customHeight="1">
      <c r="Q462" s="36"/>
    </row>
    <row r="463" ht="15.75" customHeight="1">
      <c r="Q463" s="36"/>
    </row>
    <row r="464" ht="15.75" customHeight="1">
      <c r="Q464" s="36"/>
    </row>
    <row r="465" ht="15.75" customHeight="1">
      <c r="Q465" s="36"/>
    </row>
    <row r="466" ht="15.75" customHeight="1">
      <c r="Q466" s="36"/>
    </row>
    <row r="467" ht="15.75" customHeight="1">
      <c r="Q467" s="36"/>
    </row>
    <row r="468" ht="15.75" customHeight="1">
      <c r="Q468" s="36"/>
    </row>
    <row r="469" ht="15.75" customHeight="1">
      <c r="Q469" s="36"/>
    </row>
    <row r="470" ht="15.75" customHeight="1">
      <c r="Q470" s="36"/>
    </row>
    <row r="471" ht="15.75" customHeight="1">
      <c r="Q471" s="36"/>
    </row>
    <row r="472" ht="15.75" customHeight="1">
      <c r="Q472" s="36"/>
    </row>
    <row r="473" ht="15.75" customHeight="1">
      <c r="Q473" s="36"/>
    </row>
    <row r="474" ht="15.75" customHeight="1">
      <c r="Q474" s="36"/>
    </row>
    <row r="475" ht="15.75" customHeight="1">
      <c r="Q475" s="36"/>
    </row>
    <row r="476" ht="15.75" customHeight="1">
      <c r="Q476" s="36"/>
    </row>
    <row r="477" ht="15.75" customHeight="1">
      <c r="Q477" s="36"/>
    </row>
    <row r="478" ht="15.75" customHeight="1">
      <c r="Q478" s="36"/>
    </row>
    <row r="479" ht="15.75" customHeight="1">
      <c r="Q479" s="36"/>
    </row>
    <row r="480" ht="15.75" customHeight="1">
      <c r="Q480" s="36"/>
    </row>
    <row r="481" ht="15.75" customHeight="1">
      <c r="Q481" s="36"/>
    </row>
    <row r="482" ht="15.75" customHeight="1">
      <c r="Q482" s="36"/>
    </row>
    <row r="483" ht="15.75" customHeight="1">
      <c r="Q483" s="36"/>
    </row>
    <row r="484" ht="15.75" customHeight="1">
      <c r="Q484" s="36"/>
    </row>
    <row r="485" ht="15.75" customHeight="1">
      <c r="Q485" s="36"/>
    </row>
    <row r="486" ht="15.75" customHeight="1">
      <c r="Q486" s="36"/>
    </row>
    <row r="487" ht="15.75" customHeight="1">
      <c r="Q487" s="36"/>
    </row>
    <row r="488" ht="15.75" customHeight="1">
      <c r="Q488" s="36"/>
    </row>
    <row r="489" ht="15.75" customHeight="1">
      <c r="Q489" s="36"/>
    </row>
    <row r="490" ht="15.75" customHeight="1">
      <c r="Q490" s="36"/>
    </row>
    <row r="491" ht="15.75" customHeight="1">
      <c r="Q491" s="36"/>
    </row>
    <row r="492" ht="15.75" customHeight="1">
      <c r="Q492" s="36"/>
    </row>
    <row r="493" ht="15.75" customHeight="1">
      <c r="Q493" s="36"/>
    </row>
    <row r="494" ht="15.75" customHeight="1">
      <c r="Q494" s="36"/>
    </row>
    <row r="495" ht="15.75" customHeight="1">
      <c r="Q495" s="36"/>
    </row>
    <row r="496" ht="15.75" customHeight="1">
      <c r="Q496" s="36"/>
    </row>
    <row r="497" ht="15.75" customHeight="1">
      <c r="Q497" s="36"/>
    </row>
    <row r="498" ht="15.75" customHeight="1">
      <c r="Q498" s="36"/>
    </row>
    <row r="499" ht="15.75" customHeight="1">
      <c r="Q499" s="36"/>
    </row>
    <row r="500" ht="15.75" customHeight="1">
      <c r="Q500" s="36"/>
    </row>
    <row r="501" ht="15.75" customHeight="1">
      <c r="Q501" s="36"/>
    </row>
    <row r="502" ht="15.75" customHeight="1">
      <c r="Q502" s="36"/>
    </row>
    <row r="503" ht="15.75" customHeight="1">
      <c r="Q503" s="36"/>
    </row>
    <row r="504" ht="15.75" customHeight="1">
      <c r="Q504" s="36"/>
    </row>
    <row r="505" ht="15.75" customHeight="1">
      <c r="Q505" s="36"/>
    </row>
    <row r="506" ht="15.75" customHeight="1">
      <c r="Q506" s="36"/>
    </row>
    <row r="507" ht="15.75" customHeight="1">
      <c r="Q507" s="36"/>
    </row>
    <row r="508" ht="15.75" customHeight="1">
      <c r="Q508" s="36"/>
    </row>
    <row r="509" ht="15.75" customHeight="1">
      <c r="Q509" s="36"/>
    </row>
    <row r="510" ht="15.75" customHeight="1">
      <c r="Q510" s="36"/>
    </row>
    <row r="511" ht="15.75" customHeight="1">
      <c r="Q511" s="36"/>
    </row>
    <row r="512" ht="15.75" customHeight="1">
      <c r="Q512" s="36"/>
    </row>
    <row r="513" ht="15.75" customHeight="1">
      <c r="Q513" s="36"/>
    </row>
    <row r="514" ht="15.75" customHeight="1">
      <c r="Q514" s="36"/>
    </row>
    <row r="515" ht="15.75" customHeight="1">
      <c r="Q515" s="36"/>
    </row>
    <row r="516" ht="15.75" customHeight="1">
      <c r="Q516" s="36"/>
    </row>
    <row r="517" ht="15.75" customHeight="1">
      <c r="Q517" s="36"/>
    </row>
    <row r="518" ht="15.75" customHeight="1">
      <c r="Q518" s="36"/>
    </row>
    <row r="519" ht="15.75" customHeight="1">
      <c r="Q519" s="36"/>
    </row>
    <row r="520" ht="15.75" customHeight="1">
      <c r="Q520" s="36"/>
    </row>
    <row r="521" ht="15.75" customHeight="1">
      <c r="Q521" s="36"/>
    </row>
    <row r="522" ht="15.75" customHeight="1">
      <c r="Q522" s="36"/>
    </row>
    <row r="523" ht="15.75" customHeight="1">
      <c r="Q523" s="36"/>
    </row>
    <row r="524" ht="15.75" customHeight="1">
      <c r="Q524" s="36"/>
    </row>
    <row r="525" ht="15.75" customHeight="1">
      <c r="Q525" s="36"/>
    </row>
    <row r="526" ht="15.75" customHeight="1">
      <c r="Q526" s="36"/>
    </row>
    <row r="527" ht="15.75" customHeight="1">
      <c r="Q527" s="36"/>
    </row>
    <row r="528" ht="15.75" customHeight="1">
      <c r="Q528" s="36"/>
    </row>
    <row r="529" ht="15.75" customHeight="1">
      <c r="Q529" s="36"/>
    </row>
    <row r="530" ht="15.75" customHeight="1">
      <c r="Q530" s="36"/>
    </row>
    <row r="531" ht="15.75" customHeight="1">
      <c r="Q531" s="36"/>
    </row>
    <row r="532" ht="15.75" customHeight="1">
      <c r="Q532" s="36"/>
    </row>
    <row r="533" ht="15.75" customHeight="1">
      <c r="Q533" s="36"/>
    </row>
    <row r="534" ht="15.75" customHeight="1">
      <c r="Q534" s="36"/>
    </row>
    <row r="535" ht="15.75" customHeight="1">
      <c r="Q535" s="36"/>
    </row>
    <row r="536" ht="15.75" customHeight="1">
      <c r="Q536" s="36"/>
    </row>
    <row r="537" ht="15.75" customHeight="1">
      <c r="Q537" s="36"/>
    </row>
    <row r="538" ht="15.75" customHeight="1">
      <c r="Q538" s="36"/>
    </row>
    <row r="539" ht="15.75" customHeight="1">
      <c r="Q539" s="36"/>
    </row>
    <row r="540" ht="15.75" customHeight="1">
      <c r="Q540" s="36"/>
    </row>
    <row r="541" ht="15.75" customHeight="1">
      <c r="Q541" s="36"/>
    </row>
    <row r="542" ht="15.75" customHeight="1">
      <c r="Q542" s="36"/>
    </row>
    <row r="543" ht="15.75" customHeight="1">
      <c r="Q543" s="36"/>
    </row>
    <row r="544" ht="15.75" customHeight="1">
      <c r="Q544" s="36"/>
    </row>
    <row r="545" ht="15.75" customHeight="1">
      <c r="Q545" s="36"/>
    </row>
    <row r="546" ht="15.75" customHeight="1">
      <c r="Q546" s="36"/>
    </row>
    <row r="547" ht="15.75" customHeight="1">
      <c r="Q547" s="36"/>
    </row>
    <row r="548" ht="15.75" customHeight="1">
      <c r="Q548" s="36"/>
    </row>
    <row r="549" ht="15.75" customHeight="1">
      <c r="Q549" s="36"/>
    </row>
    <row r="550" ht="15.75" customHeight="1">
      <c r="Q550" s="36"/>
    </row>
    <row r="551" ht="15.75" customHeight="1">
      <c r="Q551" s="36"/>
    </row>
    <row r="552" ht="15.75" customHeight="1">
      <c r="Q552" s="36"/>
    </row>
    <row r="553" ht="15.75" customHeight="1">
      <c r="Q553" s="36"/>
    </row>
    <row r="554" ht="15.75" customHeight="1">
      <c r="Q554" s="36"/>
    </row>
    <row r="555" ht="15.75" customHeight="1">
      <c r="Q555" s="36"/>
    </row>
    <row r="556" ht="15.75" customHeight="1">
      <c r="Q556" s="36"/>
    </row>
    <row r="557" ht="15.75" customHeight="1">
      <c r="Q557" s="36"/>
    </row>
    <row r="558" ht="15.75" customHeight="1">
      <c r="Q558" s="36"/>
    </row>
    <row r="559" ht="15.75" customHeight="1">
      <c r="Q559" s="36"/>
    </row>
    <row r="560" ht="15.75" customHeight="1">
      <c r="Q560" s="36"/>
    </row>
    <row r="561" ht="15.75" customHeight="1">
      <c r="Q561" s="36"/>
    </row>
    <row r="562" ht="15.75" customHeight="1">
      <c r="Q562" s="36"/>
    </row>
    <row r="563" ht="15.75" customHeight="1">
      <c r="Q563" s="36"/>
    </row>
    <row r="564" ht="15.75" customHeight="1">
      <c r="Q564" s="36"/>
    </row>
    <row r="565" ht="15.75" customHeight="1">
      <c r="Q565" s="36"/>
    </row>
    <row r="566" ht="15.75" customHeight="1">
      <c r="Q566" s="36"/>
    </row>
    <row r="567" ht="15.75" customHeight="1">
      <c r="Q567" s="36"/>
    </row>
    <row r="568" ht="15.75" customHeight="1">
      <c r="Q568" s="36"/>
    </row>
    <row r="569" ht="15.75" customHeight="1">
      <c r="Q569" s="36"/>
    </row>
    <row r="570" ht="15.75" customHeight="1">
      <c r="Q570" s="36"/>
    </row>
    <row r="571" ht="15.75" customHeight="1">
      <c r="Q571" s="36"/>
    </row>
    <row r="572" ht="15.75" customHeight="1">
      <c r="Q572" s="36"/>
    </row>
    <row r="573" ht="15.75" customHeight="1">
      <c r="Q573" s="36"/>
    </row>
    <row r="574" ht="15.75" customHeight="1">
      <c r="Q574" s="36"/>
    </row>
    <row r="575" ht="15.75" customHeight="1">
      <c r="Q575" s="36"/>
    </row>
    <row r="576" ht="15.75" customHeight="1">
      <c r="Q576" s="36"/>
    </row>
    <row r="577" ht="15.75" customHeight="1">
      <c r="Q577" s="36"/>
    </row>
    <row r="578" ht="15.75" customHeight="1">
      <c r="Q578" s="36"/>
    </row>
    <row r="579" ht="15.75" customHeight="1">
      <c r="Q579" s="36"/>
    </row>
    <row r="580" ht="15.75" customHeight="1">
      <c r="Q580" s="36"/>
    </row>
    <row r="581" ht="15.75" customHeight="1">
      <c r="Q581" s="36"/>
    </row>
    <row r="582" ht="15.75" customHeight="1">
      <c r="Q582" s="36"/>
    </row>
    <row r="583" ht="15.75" customHeight="1">
      <c r="Q583" s="36"/>
    </row>
    <row r="584" ht="15.75" customHeight="1">
      <c r="Q584" s="36"/>
    </row>
    <row r="585" ht="15.75" customHeight="1">
      <c r="Q585" s="36"/>
    </row>
    <row r="586" ht="15.75" customHeight="1">
      <c r="Q586" s="36"/>
    </row>
    <row r="587" ht="15.75" customHeight="1">
      <c r="Q587" s="36"/>
    </row>
    <row r="588" ht="15.75" customHeight="1">
      <c r="Q588" s="36"/>
    </row>
    <row r="589" ht="15.75" customHeight="1">
      <c r="Q589" s="36"/>
    </row>
    <row r="590" ht="15.75" customHeight="1">
      <c r="Q590" s="36"/>
    </row>
    <row r="591" ht="15.75" customHeight="1">
      <c r="Q591" s="36"/>
    </row>
    <row r="592" ht="15.75" customHeight="1">
      <c r="Q592" s="36"/>
    </row>
    <row r="593" ht="15.75" customHeight="1">
      <c r="Q593" s="36"/>
    </row>
    <row r="594" ht="15.75" customHeight="1">
      <c r="Q594" s="36"/>
    </row>
    <row r="595" ht="15.75" customHeight="1">
      <c r="Q595" s="36"/>
    </row>
    <row r="596" ht="15.75" customHeight="1">
      <c r="Q596" s="36"/>
    </row>
    <row r="597" ht="15.75" customHeight="1">
      <c r="Q597" s="36"/>
    </row>
    <row r="598" ht="15.75" customHeight="1">
      <c r="Q598" s="36"/>
    </row>
    <row r="599" ht="15.75" customHeight="1">
      <c r="Q599" s="36"/>
    </row>
    <row r="600" ht="15.75" customHeight="1">
      <c r="Q600" s="36"/>
    </row>
    <row r="601" ht="15.75" customHeight="1">
      <c r="Q601" s="36"/>
    </row>
    <row r="602" ht="15.75" customHeight="1">
      <c r="Q602" s="36"/>
    </row>
    <row r="603" ht="15.75" customHeight="1">
      <c r="Q603" s="36"/>
    </row>
    <row r="604" ht="15.75" customHeight="1">
      <c r="Q604" s="36"/>
    </row>
    <row r="605" ht="15.75" customHeight="1">
      <c r="Q605" s="36"/>
    </row>
    <row r="606" ht="15.75" customHeight="1">
      <c r="Q606" s="36"/>
    </row>
    <row r="607" ht="15.75" customHeight="1">
      <c r="Q607" s="36"/>
    </row>
    <row r="608" ht="15.75" customHeight="1">
      <c r="Q608" s="36"/>
    </row>
    <row r="609" ht="15.75" customHeight="1">
      <c r="Q609" s="36"/>
    </row>
    <row r="610" ht="15.75" customHeight="1">
      <c r="Q610" s="36"/>
    </row>
    <row r="611" ht="15.75" customHeight="1">
      <c r="Q611" s="36"/>
    </row>
    <row r="612" ht="15.75" customHeight="1">
      <c r="Q612" s="36"/>
    </row>
    <row r="613" ht="15.75" customHeight="1">
      <c r="Q613" s="36"/>
    </row>
    <row r="614" ht="15.75" customHeight="1">
      <c r="Q614" s="36"/>
    </row>
    <row r="615" ht="15.75" customHeight="1">
      <c r="Q615" s="36"/>
    </row>
    <row r="616" ht="15.75" customHeight="1">
      <c r="Q616" s="36"/>
    </row>
    <row r="617" ht="15.75" customHeight="1">
      <c r="Q617" s="36"/>
    </row>
    <row r="618" ht="15.75" customHeight="1">
      <c r="Q618" s="36"/>
    </row>
    <row r="619" ht="15.75" customHeight="1">
      <c r="Q619" s="36"/>
    </row>
    <row r="620" ht="15.75" customHeight="1">
      <c r="Q620" s="36"/>
    </row>
    <row r="621" ht="15.75" customHeight="1">
      <c r="Q621" s="36"/>
    </row>
    <row r="622" ht="15.75" customHeight="1">
      <c r="Q622" s="36"/>
    </row>
    <row r="623" ht="15.75" customHeight="1">
      <c r="Q623" s="36"/>
    </row>
    <row r="624" ht="15.75" customHeight="1">
      <c r="Q624" s="36"/>
    </row>
    <row r="625" ht="15.75" customHeight="1">
      <c r="Q625" s="36"/>
    </row>
    <row r="626" ht="15.75" customHeight="1">
      <c r="Q626" s="36"/>
    </row>
    <row r="627" ht="15.75" customHeight="1">
      <c r="Q627" s="36"/>
    </row>
    <row r="628" ht="15.75" customHeight="1">
      <c r="Q628" s="36"/>
    </row>
    <row r="629" ht="15.75" customHeight="1">
      <c r="Q629" s="36"/>
    </row>
    <row r="630" ht="15.75" customHeight="1">
      <c r="Q630" s="36"/>
    </row>
    <row r="631" ht="15.75" customHeight="1">
      <c r="Q631" s="36"/>
    </row>
    <row r="632" ht="15.75" customHeight="1">
      <c r="Q632" s="36"/>
    </row>
    <row r="633" ht="15.75" customHeight="1">
      <c r="Q633" s="36"/>
    </row>
    <row r="634" ht="15.75" customHeight="1">
      <c r="Q634" s="36"/>
    </row>
    <row r="635" ht="15.75" customHeight="1">
      <c r="Q635" s="36"/>
    </row>
    <row r="636" ht="15.75" customHeight="1">
      <c r="Q636" s="36"/>
    </row>
    <row r="637" ht="15.75" customHeight="1">
      <c r="Q637" s="36"/>
    </row>
    <row r="638" ht="15.75" customHeight="1">
      <c r="Q638" s="36"/>
    </row>
    <row r="639" ht="15.75" customHeight="1">
      <c r="Q639" s="36"/>
    </row>
    <row r="640" ht="15.75" customHeight="1">
      <c r="Q640" s="36"/>
    </row>
    <row r="641" ht="15.75" customHeight="1">
      <c r="Q641" s="36"/>
    </row>
    <row r="642" ht="15.75" customHeight="1">
      <c r="Q642" s="36"/>
    </row>
    <row r="643" ht="15.75" customHeight="1">
      <c r="Q643" s="36"/>
    </row>
    <row r="644" ht="15.75" customHeight="1">
      <c r="Q644" s="36"/>
    </row>
    <row r="645" ht="15.75" customHeight="1">
      <c r="Q645" s="36"/>
    </row>
    <row r="646" ht="15.75" customHeight="1">
      <c r="Q646" s="36"/>
    </row>
    <row r="647" ht="15.75" customHeight="1">
      <c r="Q647" s="36"/>
    </row>
    <row r="648" ht="15.75" customHeight="1">
      <c r="Q648" s="36"/>
    </row>
    <row r="649" ht="15.75" customHeight="1">
      <c r="Q649" s="36"/>
    </row>
    <row r="650" ht="15.75" customHeight="1">
      <c r="Q650" s="36"/>
    </row>
    <row r="651" ht="15.75" customHeight="1">
      <c r="Q651" s="36"/>
    </row>
    <row r="652" ht="15.75" customHeight="1">
      <c r="Q652" s="36"/>
    </row>
    <row r="653" ht="15.75" customHeight="1">
      <c r="Q653" s="36"/>
    </row>
    <row r="654" ht="15.75" customHeight="1">
      <c r="Q654" s="36"/>
    </row>
    <row r="655" ht="15.75" customHeight="1">
      <c r="Q655" s="36"/>
    </row>
    <row r="656" ht="15.75" customHeight="1">
      <c r="Q656" s="36"/>
    </row>
    <row r="657" ht="15.75" customHeight="1">
      <c r="Q657" s="36"/>
    </row>
    <row r="658" ht="15.75" customHeight="1">
      <c r="Q658" s="36"/>
    </row>
    <row r="659" ht="15.75" customHeight="1">
      <c r="Q659" s="36"/>
    </row>
    <row r="660" ht="15.75" customHeight="1">
      <c r="Q660" s="36"/>
    </row>
    <row r="661" ht="15.75" customHeight="1">
      <c r="Q661" s="36"/>
    </row>
    <row r="662" ht="15.75" customHeight="1">
      <c r="Q662" s="36"/>
    </row>
    <row r="663" ht="15.75" customHeight="1">
      <c r="Q663" s="36"/>
    </row>
    <row r="664" ht="15.75" customHeight="1">
      <c r="Q664" s="36"/>
    </row>
    <row r="665" ht="15.75" customHeight="1">
      <c r="Q665" s="36"/>
    </row>
    <row r="666" ht="15.75" customHeight="1">
      <c r="Q666" s="36"/>
    </row>
    <row r="667" ht="15.75" customHeight="1">
      <c r="Q667" s="36"/>
    </row>
    <row r="668" ht="15.75" customHeight="1">
      <c r="Q668" s="36"/>
    </row>
    <row r="669" ht="15.75" customHeight="1">
      <c r="Q669" s="36"/>
    </row>
    <row r="670" ht="15.75" customHeight="1">
      <c r="Q670" s="36"/>
    </row>
    <row r="671" ht="15.75" customHeight="1">
      <c r="Q671" s="36"/>
    </row>
    <row r="672" ht="15.75" customHeight="1">
      <c r="Q672" s="36"/>
    </row>
    <row r="673" ht="15.75" customHeight="1">
      <c r="Q673" s="36"/>
    </row>
    <row r="674" ht="15.75" customHeight="1">
      <c r="Q674" s="36"/>
    </row>
    <row r="675" ht="15.75" customHeight="1">
      <c r="Q675" s="36"/>
    </row>
    <row r="676" ht="15.75" customHeight="1">
      <c r="Q676" s="36"/>
    </row>
    <row r="677" ht="15.75" customHeight="1">
      <c r="Q677" s="36"/>
    </row>
    <row r="678" ht="15.75" customHeight="1">
      <c r="Q678" s="36"/>
    </row>
    <row r="679" ht="15.75" customHeight="1">
      <c r="Q679" s="36"/>
    </row>
    <row r="680" ht="15.75" customHeight="1">
      <c r="Q680" s="36"/>
    </row>
    <row r="681" ht="15.75" customHeight="1">
      <c r="Q681" s="36"/>
    </row>
    <row r="682" ht="15.75" customHeight="1">
      <c r="Q682" s="36"/>
    </row>
    <row r="683" ht="15.75" customHeight="1">
      <c r="Q683" s="36"/>
    </row>
    <row r="684" ht="15.75" customHeight="1">
      <c r="Q684" s="36"/>
    </row>
    <row r="685" ht="15.75" customHeight="1">
      <c r="Q685" s="36"/>
    </row>
    <row r="686" ht="15.75" customHeight="1">
      <c r="Q686" s="36"/>
    </row>
    <row r="687" ht="15.75" customHeight="1">
      <c r="Q687" s="36"/>
    </row>
    <row r="688" ht="15.75" customHeight="1">
      <c r="Q688" s="36"/>
    </row>
    <row r="689" ht="15.75" customHeight="1">
      <c r="Q689" s="36"/>
    </row>
    <row r="690" ht="15.75" customHeight="1">
      <c r="Q690" s="36"/>
    </row>
    <row r="691" ht="15.75" customHeight="1">
      <c r="Q691" s="36"/>
    </row>
    <row r="692" ht="15.75" customHeight="1">
      <c r="Q692" s="36"/>
    </row>
    <row r="693" ht="15.75" customHeight="1">
      <c r="Q693" s="36"/>
    </row>
    <row r="694" ht="15.75" customHeight="1">
      <c r="Q694" s="36"/>
    </row>
    <row r="695" ht="15.75" customHeight="1">
      <c r="Q695" s="36"/>
    </row>
    <row r="696" ht="15.75" customHeight="1">
      <c r="Q696" s="36"/>
    </row>
    <row r="697" ht="15.75" customHeight="1">
      <c r="Q697" s="36"/>
    </row>
    <row r="698" ht="15.75" customHeight="1">
      <c r="Q698" s="36"/>
    </row>
    <row r="699" ht="15.75" customHeight="1">
      <c r="Q699" s="36"/>
    </row>
    <row r="700" ht="15.75" customHeight="1">
      <c r="Q700" s="36"/>
    </row>
    <row r="701" ht="15.75" customHeight="1">
      <c r="Q701" s="36"/>
    </row>
    <row r="702" ht="15.75" customHeight="1">
      <c r="Q702" s="36"/>
    </row>
    <row r="703" ht="15.75" customHeight="1">
      <c r="Q703" s="36"/>
    </row>
    <row r="704" ht="15.75" customHeight="1">
      <c r="Q704" s="36"/>
    </row>
    <row r="705" ht="15.75" customHeight="1">
      <c r="Q705" s="36"/>
    </row>
    <row r="706" ht="15.75" customHeight="1">
      <c r="Q706" s="36"/>
    </row>
    <row r="707" ht="15.75" customHeight="1">
      <c r="Q707" s="36"/>
    </row>
    <row r="708" ht="15.75" customHeight="1">
      <c r="Q708" s="36"/>
    </row>
    <row r="709" ht="15.75" customHeight="1">
      <c r="Q709" s="36"/>
    </row>
    <row r="710" ht="15.75" customHeight="1">
      <c r="Q710" s="36"/>
    </row>
    <row r="711" ht="15.75" customHeight="1">
      <c r="Q711" s="36"/>
    </row>
    <row r="712" ht="15.75" customHeight="1">
      <c r="Q712" s="36"/>
    </row>
    <row r="713" ht="15.75" customHeight="1">
      <c r="Q713" s="36"/>
    </row>
    <row r="714" ht="15.75" customHeight="1">
      <c r="Q714" s="36"/>
    </row>
    <row r="715" ht="15.75" customHeight="1">
      <c r="Q715" s="36"/>
    </row>
    <row r="716" ht="15.75" customHeight="1">
      <c r="Q716" s="36"/>
    </row>
    <row r="717" ht="15.75" customHeight="1">
      <c r="Q717" s="36"/>
    </row>
    <row r="718" ht="15.75" customHeight="1">
      <c r="Q718" s="36"/>
    </row>
    <row r="719" ht="15.75" customHeight="1">
      <c r="Q719" s="36"/>
    </row>
    <row r="720" ht="15.75" customHeight="1">
      <c r="Q720" s="36"/>
    </row>
    <row r="721" ht="15.75" customHeight="1">
      <c r="Q721" s="36"/>
    </row>
    <row r="722" ht="15.75" customHeight="1">
      <c r="Q722" s="36"/>
    </row>
    <row r="723" ht="15.75" customHeight="1">
      <c r="Q723" s="36"/>
    </row>
    <row r="724" ht="15.75" customHeight="1">
      <c r="Q724" s="36"/>
    </row>
    <row r="725" ht="15.75" customHeight="1">
      <c r="Q725" s="36"/>
    </row>
    <row r="726" ht="15.75" customHeight="1">
      <c r="Q726" s="36"/>
    </row>
    <row r="727" ht="15.75" customHeight="1">
      <c r="Q727" s="36"/>
    </row>
    <row r="728" ht="15.75" customHeight="1">
      <c r="Q728" s="36"/>
    </row>
    <row r="729" ht="15.75" customHeight="1">
      <c r="Q729" s="36"/>
    </row>
    <row r="730" ht="15.75" customHeight="1">
      <c r="Q730" s="36"/>
    </row>
    <row r="731" ht="15.75" customHeight="1">
      <c r="Q731" s="36"/>
    </row>
    <row r="732" ht="15.75" customHeight="1">
      <c r="Q732" s="36"/>
    </row>
    <row r="733" ht="15.75" customHeight="1">
      <c r="Q733" s="36"/>
    </row>
    <row r="734" ht="15.75" customHeight="1">
      <c r="Q734" s="36"/>
    </row>
    <row r="735" ht="15.75" customHeight="1">
      <c r="Q735" s="36"/>
    </row>
    <row r="736" ht="15.75" customHeight="1">
      <c r="Q736" s="36"/>
    </row>
    <row r="737" ht="15.75" customHeight="1">
      <c r="Q737" s="36"/>
    </row>
    <row r="738" ht="15.75" customHeight="1">
      <c r="Q738" s="36"/>
    </row>
    <row r="739" ht="15.75" customHeight="1">
      <c r="Q739" s="36"/>
    </row>
    <row r="740" ht="15.75" customHeight="1">
      <c r="Q740" s="36"/>
    </row>
    <row r="741" ht="15.75" customHeight="1">
      <c r="Q741" s="36"/>
    </row>
    <row r="742" ht="15.75" customHeight="1">
      <c r="Q742" s="36"/>
    </row>
    <row r="743" ht="15.75" customHeight="1">
      <c r="Q743" s="36"/>
    </row>
    <row r="744" ht="15.75" customHeight="1">
      <c r="Q744" s="36"/>
    </row>
    <row r="745" ht="15.75" customHeight="1">
      <c r="Q745" s="36"/>
    </row>
    <row r="746" ht="15.75" customHeight="1">
      <c r="Q746" s="36"/>
    </row>
    <row r="747" ht="15.75" customHeight="1">
      <c r="Q747" s="36"/>
    </row>
    <row r="748" ht="15.75" customHeight="1">
      <c r="Q748" s="36"/>
    </row>
    <row r="749" ht="15.75" customHeight="1">
      <c r="Q749" s="36"/>
    </row>
    <row r="750" ht="15.75" customHeight="1">
      <c r="Q750" s="36"/>
    </row>
    <row r="751" ht="15.75" customHeight="1">
      <c r="Q751" s="36"/>
    </row>
    <row r="752" ht="15.75" customHeight="1">
      <c r="Q752" s="36"/>
    </row>
    <row r="753" ht="15.75" customHeight="1">
      <c r="Q753" s="36"/>
    </row>
    <row r="754" ht="15.75" customHeight="1">
      <c r="Q754" s="36"/>
    </row>
    <row r="755" ht="15.75" customHeight="1">
      <c r="Q755" s="36"/>
    </row>
    <row r="756" ht="15.75" customHeight="1">
      <c r="Q756" s="36"/>
    </row>
    <row r="757" ht="15.75" customHeight="1">
      <c r="Q757" s="36"/>
    </row>
    <row r="758" ht="15.75" customHeight="1">
      <c r="Q758" s="36"/>
    </row>
    <row r="759" ht="15.75" customHeight="1">
      <c r="Q759" s="36"/>
    </row>
    <row r="760" ht="15.75" customHeight="1">
      <c r="Q760" s="36"/>
    </row>
    <row r="761" ht="15.75" customHeight="1">
      <c r="Q761" s="36"/>
    </row>
    <row r="762" ht="15.75" customHeight="1">
      <c r="Q762" s="36"/>
    </row>
    <row r="763" ht="15.75" customHeight="1">
      <c r="Q763" s="36"/>
    </row>
    <row r="764" ht="15.75" customHeight="1">
      <c r="Q764" s="36"/>
    </row>
    <row r="765" ht="15.75" customHeight="1">
      <c r="Q765" s="36"/>
    </row>
    <row r="766" ht="15.75" customHeight="1">
      <c r="Q766" s="36"/>
    </row>
    <row r="767" ht="15.75" customHeight="1">
      <c r="Q767" s="36"/>
    </row>
    <row r="768" ht="15.75" customHeight="1">
      <c r="Q768" s="36"/>
    </row>
    <row r="769" ht="15.75" customHeight="1">
      <c r="Q769" s="36"/>
    </row>
    <row r="770" ht="15.75" customHeight="1">
      <c r="Q770" s="36"/>
    </row>
    <row r="771" ht="15.75" customHeight="1">
      <c r="Q771" s="36"/>
    </row>
    <row r="772" ht="15.75" customHeight="1">
      <c r="Q772" s="36"/>
    </row>
    <row r="773" ht="15.75" customHeight="1">
      <c r="Q773" s="36"/>
    </row>
    <row r="774" ht="15.75" customHeight="1">
      <c r="Q774" s="36"/>
    </row>
    <row r="775" ht="15.75" customHeight="1">
      <c r="Q775" s="36"/>
    </row>
    <row r="776" ht="15.75" customHeight="1">
      <c r="Q776" s="36"/>
    </row>
    <row r="777" ht="15.75" customHeight="1">
      <c r="Q777" s="36"/>
    </row>
    <row r="778" ht="15.75" customHeight="1">
      <c r="Q778" s="36"/>
    </row>
    <row r="779" ht="15.75" customHeight="1">
      <c r="Q779" s="36"/>
    </row>
    <row r="780" ht="15.75" customHeight="1">
      <c r="Q780" s="36"/>
    </row>
    <row r="781" ht="15.75" customHeight="1">
      <c r="Q781" s="36"/>
    </row>
    <row r="782" ht="15.75" customHeight="1">
      <c r="Q782" s="36"/>
    </row>
    <row r="783" ht="15.75" customHeight="1">
      <c r="Q783" s="36"/>
    </row>
    <row r="784" ht="15.75" customHeight="1">
      <c r="Q784" s="36"/>
    </row>
    <row r="785" ht="15.75" customHeight="1">
      <c r="Q785" s="36"/>
    </row>
    <row r="786" ht="15.75" customHeight="1">
      <c r="Q786" s="36"/>
    </row>
    <row r="787" ht="15.75" customHeight="1">
      <c r="Q787" s="36"/>
    </row>
    <row r="788" ht="15.75" customHeight="1">
      <c r="Q788" s="36"/>
    </row>
    <row r="789" ht="15.75" customHeight="1">
      <c r="Q789" s="36"/>
    </row>
    <row r="790" ht="15.75" customHeight="1">
      <c r="Q790" s="36"/>
    </row>
    <row r="791" ht="15.75" customHeight="1">
      <c r="Q791" s="36"/>
    </row>
    <row r="792" ht="15.75" customHeight="1">
      <c r="Q792" s="36"/>
    </row>
    <row r="793" ht="15.75" customHeight="1">
      <c r="Q793" s="36"/>
    </row>
    <row r="794" ht="15.75" customHeight="1">
      <c r="Q794" s="36"/>
    </row>
    <row r="795" ht="15.75" customHeight="1">
      <c r="Q795" s="36"/>
    </row>
    <row r="796" ht="15.75" customHeight="1">
      <c r="Q796" s="36"/>
    </row>
    <row r="797" ht="15.75" customHeight="1">
      <c r="Q797" s="36"/>
    </row>
    <row r="798" ht="15.75" customHeight="1">
      <c r="Q798" s="36"/>
    </row>
    <row r="799" ht="15.75" customHeight="1">
      <c r="Q799" s="36"/>
    </row>
    <row r="800" ht="15.75" customHeight="1">
      <c r="Q800" s="36"/>
    </row>
    <row r="801" ht="15.75" customHeight="1">
      <c r="Q801" s="36"/>
    </row>
    <row r="802" ht="15.75" customHeight="1">
      <c r="Q802" s="36"/>
    </row>
    <row r="803" ht="15.75" customHeight="1">
      <c r="Q803" s="36"/>
    </row>
    <row r="804" ht="15.75" customHeight="1">
      <c r="Q804" s="36"/>
    </row>
    <row r="805" ht="15.75" customHeight="1">
      <c r="Q805" s="36"/>
    </row>
    <row r="806" ht="15.75" customHeight="1">
      <c r="Q806" s="36"/>
    </row>
    <row r="807" ht="15.75" customHeight="1">
      <c r="Q807" s="36"/>
    </row>
    <row r="808" ht="15.75" customHeight="1">
      <c r="Q808" s="36"/>
    </row>
    <row r="809" ht="15.75" customHeight="1">
      <c r="Q809" s="36"/>
    </row>
    <row r="810" ht="15.75" customHeight="1">
      <c r="Q810" s="36"/>
    </row>
    <row r="811" ht="15.75" customHeight="1">
      <c r="Q811" s="36"/>
    </row>
    <row r="812" ht="15.75" customHeight="1">
      <c r="Q812" s="36"/>
    </row>
    <row r="813" ht="15.75" customHeight="1">
      <c r="Q813" s="36"/>
    </row>
    <row r="814" ht="15.75" customHeight="1">
      <c r="Q814" s="36"/>
    </row>
    <row r="815" ht="15.75" customHeight="1">
      <c r="Q815" s="36"/>
    </row>
    <row r="816" ht="15.75" customHeight="1">
      <c r="Q816" s="36"/>
    </row>
    <row r="817" ht="15.75" customHeight="1">
      <c r="Q817" s="36"/>
    </row>
    <row r="818" ht="15.75" customHeight="1">
      <c r="Q818" s="36"/>
    </row>
    <row r="819" ht="15.75" customHeight="1">
      <c r="Q819" s="36"/>
    </row>
    <row r="820" ht="15.75" customHeight="1">
      <c r="Q820" s="36"/>
    </row>
    <row r="821" ht="15.75" customHeight="1">
      <c r="Q821" s="36"/>
    </row>
    <row r="822" ht="15.75" customHeight="1">
      <c r="Q822" s="36"/>
    </row>
    <row r="823" ht="15.75" customHeight="1">
      <c r="Q823" s="36"/>
    </row>
    <row r="824" ht="15.75" customHeight="1">
      <c r="Q824" s="36"/>
    </row>
    <row r="825" ht="15.75" customHeight="1">
      <c r="Q825" s="36"/>
    </row>
    <row r="826" ht="15.75" customHeight="1">
      <c r="Q826" s="36"/>
    </row>
    <row r="827" ht="15.75" customHeight="1">
      <c r="Q827" s="36"/>
    </row>
    <row r="828" ht="15.75" customHeight="1">
      <c r="Q828" s="36"/>
    </row>
    <row r="829" ht="15.75" customHeight="1">
      <c r="Q829" s="36"/>
    </row>
    <row r="830" ht="15.75" customHeight="1">
      <c r="Q830" s="36"/>
    </row>
    <row r="831" ht="15.75" customHeight="1">
      <c r="Q831" s="36"/>
    </row>
    <row r="832" ht="15.75" customHeight="1">
      <c r="Q832" s="36"/>
    </row>
    <row r="833" ht="15.75" customHeight="1">
      <c r="Q833" s="36"/>
    </row>
    <row r="834" ht="15.75" customHeight="1">
      <c r="Q834" s="36"/>
    </row>
    <row r="835" ht="15.75" customHeight="1">
      <c r="Q835" s="36"/>
    </row>
    <row r="836" ht="15.75" customHeight="1">
      <c r="Q836" s="36"/>
    </row>
    <row r="837" ht="15.75" customHeight="1">
      <c r="Q837" s="36"/>
    </row>
    <row r="838" ht="15.75" customHeight="1">
      <c r="Q838" s="36"/>
    </row>
    <row r="839" ht="15.75" customHeight="1">
      <c r="Q839" s="36"/>
    </row>
    <row r="840" ht="15.75" customHeight="1">
      <c r="Q840" s="36"/>
    </row>
    <row r="841" ht="15.75" customHeight="1">
      <c r="Q841" s="36"/>
    </row>
    <row r="842" ht="15.75" customHeight="1">
      <c r="Q842" s="36"/>
    </row>
    <row r="843" ht="15.75" customHeight="1">
      <c r="Q843" s="36"/>
    </row>
    <row r="844" ht="15.75" customHeight="1">
      <c r="Q844" s="36"/>
    </row>
    <row r="845" ht="15.75" customHeight="1">
      <c r="Q845" s="36"/>
    </row>
    <row r="846" ht="15.75" customHeight="1">
      <c r="Q846" s="36"/>
    </row>
    <row r="847" ht="15.75" customHeight="1">
      <c r="Q847" s="36"/>
    </row>
    <row r="848" ht="15.75" customHeight="1">
      <c r="Q848" s="36"/>
    </row>
    <row r="849" ht="15.75" customHeight="1">
      <c r="Q849" s="36"/>
    </row>
    <row r="850" ht="15.75" customHeight="1">
      <c r="Q850" s="36"/>
    </row>
    <row r="851" ht="15.75" customHeight="1">
      <c r="Q851" s="36"/>
    </row>
    <row r="852" ht="15.75" customHeight="1">
      <c r="Q852" s="36"/>
    </row>
    <row r="853" ht="15.75" customHeight="1">
      <c r="Q853" s="36"/>
    </row>
    <row r="854" ht="15.75" customHeight="1">
      <c r="Q854" s="36"/>
    </row>
    <row r="855" ht="15.75" customHeight="1">
      <c r="Q855" s="36"/>
    </row>
    <row r="856" ht="15.75" customHeight="1">
      <c r="Q856" s="36"/>
    </row>
    <row r="857" ht="15.75" customHeight="1">
      <c r="Q857" s="36"/>
    </row>
    <row r="858" ht="15.75" customHeight="1">
      <c r="Q858" s="36"/>
    </row>
    <row r="859" ht="15.75" customHeight="1">
      <c r="Q859" s="36"/>
    </row>
    <row r="860" ht="15.75" customHeight="1">
      <c r="Q860" s="36"/>
    </row>
    <row r="861" ht="15.75" customHeight="1">
      <c r="Q861" s="36"/>
    </row>
    <row r="862" ht="15.75" customHeight="1">
      <c r="Q862" s="36"/>
    </row>
    <row r="863" ht="15.75" customHeight="1">
      <c r="Q863" s="36"/>
    </row>
    <row r="864" ht="15.75" customHeight="1">
      <c r="Q864" s="36"/>
    </row>
    <row r="865" ht="15.75" customHeight="1">
      <c r="Q865" s="36"/>
    </row>
    <row r="866" ht="15.75" customHeight="1">
      <c r="Q866" s="36"/>
    </row>
    <row r="867" ht="15.75" customHeight="1">
      <c r="Q867" s="36"/>
    </row>
    <row r="868" ht="15.75" customHeight="1">
      <c r="Q868" s="36"/>
    </row>
    <row r="869" ht="15.75" customHeight="1">
      <c r="Q869" s="36"/>
    </row>
    <row r="870" ht="15.75" customHeight="1">
      <c r="Q870" s="36"/>
    </row>
    <row r="871" ht="15.75" customHeight="1">
      <c r="Q871" s="36"/>
    </row>
    <row r="872" ht="15.75" customHeight="1">
      <c r="Q872" s="36"/>
    </row>
    <row r="873" ht="15.75" customHeight="1">
      <c r="Q873" s="36"/>
    </row>
    <row r="874" ht="15.75" customHeight="1">
      <c r="Q874" s="36"/>
    </row>
    <row r="875" ht="15.75" customHeight="1">
      <c r="Q875" s="36"/>
    </row>
    <row r="876" ht="15.75" customHeight="1">
      <c r="Q876" s="36"/>
    </row>
    <row r="877" ht="15.75" customHeight="1">
      <c r="Q877" s="36"/>
    </row>
    <row r="878" ht="15.75" customHeight="1">
      <c r="Q878" s="36"/>
    </row>
    <row r="879" ht="15.75" customHeight="1">
      <c r="Q879" s="36"/>
    </row>
    <row r="880" ht="15.75" customHeight="1">
      <c r="Q880" s="36"/>
    </row>
    <row r="881" ht="15.75" customHeight="1">
      <c r="Q881" s="36"/>
    </row>
    <row r="882" ht="15.75" customHeight="1">
      <c r="Q882" s="36"/>
    </row>
    <row r="883" ht="15.75" customHeight="1">
      <c r="Q883" s="36"/>
    </row>
    <row r="884" ht="15.75" customHeight="1">
      <c r="Q884" s="36"/>
    </row>
    <row r="885" ht="15.75" customHeight="1">
      <c r="Q885" s="36"/>
    </row>
    <row r="886" ht="15.75" customHeight="1">
      <c r="Q886" s="36"/>
    </row>
    <row r="887" ht="15.75" customHeight="1">
      <c r="Q887" s="36"/>
    </row>
    <row r="888" ht="15.75" customHeight="1">
      <c r="Q888" s="36"/>
    </row>
    <row r="889" ht="15.75" customHeight="1">
      <c r="Q889" s="36"/>
    </row>
    <row r="890" ht="15.75" customHeight="1">
      <c r="Q890" s="36"/>
    </row>
    <row r="891" ht="15.75" customHeight="1">
      <c r="Q891" s="36"/>
    </row>
    <row r="892" ht="15.75" customHeight="1">
      <c r="Q892" s="36"/>
    </row>
    <row r="893" ht="15.75" customHeight="1">
      <c r="Q893" s="36"/>
    </row>
    <row r="894" ht="15.75" customHeight="1">
      <c r="Q894" s="36"/>
    </row>
    <row r="895" ht="15.75" customHeight="1">
      <c r="Q895" s="36"/>
    </row>
    <row r="896" ht="15.75" customHeight="1">
      <c r="Q896" s="36"/>
    </row>
    <row r="897" ht="15.75" customHeight="1">
      <c r="Q897" s="36"/>
    </row>
    <row r="898" ht="15.75" customHeight="1">
      <c r="Q898" s="36"/>
    </row>
    <row r="899" ht="15.75" customHeight="1">
      <c r="Q899" s="36"/>
    </row>
    <row r="900" ht="15.75" customHeight="1">
      <c r="Q900" s="36"/>
    </row>
    <row r="901" ht="15.75" customHeight="1">
      <c r="Q901" s="36"/>
    </row>
    <row r="902" ht="15.75" customHeight="1">
      <c r="Q902" s="36"/>
    </row>
    <row r="903" ht="15.75" customHeight="1">
      <c r="Q903" s="36"/>
    </row>
    <row r="904" ht="15.75" customHeight="1">
      <c r="Q904" s="36"/>
    </row>
    <row r="905" ht="15.75" customHeight="1">
      <c r="Q905" s="36"/>
    </row>
    <row r="906" ht="15.75" customHeight="1">
      <c r="Q906" s="36"/>
    </row>
    <row r="907" ht="15.75" customHeight="1">
      <c r="Q907" s="36"/>
    </row>
    <row r="908" ht="15.75" customHeight="1">
      <c r="Q908" s="36"/>
    </row>
    <row r="909" ht="15.75" customHeight="1">
      <c r="Q909" s="36"/>
    </row>
    <row r="910" ht="15.75" customHeight="1">
      <c r="Q910" s="36"/>
    </row>
    <row r="911" ht="15.75" customHeight="1">
      <c r="Q911" s="36"/>
    </row>
    <row r="912" ht="15.75" customHeight="1">
      <c r="Q912" s="36"/>
    </row>
    <row r="913" ht="15.75" customHeight="1">
      <c r="Q913" s="36"/>
    </row>
    <row r="914" ht="15.75" customHeight="1">
      <c r="Q914" s="36"/>
    </row>
    <row r="915" ht="15.75" customHeight="1">
      <c r="Q915" s="36"/>
    </row>
    <row r="916" ht="15.75" customHeight="1">
      <c r="Q916" s="36"/>
    </row>
    <row r="917" ht="15.75" customHeight="1">
      <c r="Q917" s="36"/>
    </row>
    <row r="918" ht="15.75" customHeight="1">
      <c r="Q918" s="36"/>
    </row>
    <row r="919" ht="15.75" customHeight="1">
      <c r="Q919" s="36"/>
    </row>
    <row r="920" ht="15.75" customHeight="1">
      <c r="Q920" s="36"/>
    </row>
    <row r="921" ht="15.75" customHeight="1">
      <c r="Q921" s="36"/>
    </row>
    <row r="922" ht="15.75" customHeight="1">
      <c r="Q922" s="36"/>
    </row>
    <row r="923" ht="15.75" customHeight="1">
      <c r="Q923" s="36"/>
    </row>
    <row r="924" ht="15.75" customHeight="1">
      <c r="Q924" s="36"/>
    </row>
    <row r="925" ht="15.75" customHeight="1">
      <c r="Q925" s="36"/>
    </row>
    <row r="926" ht="15.75" customHeight="1">
      <c r="Q926" s="36"/>
    </row>
    <row r="927" ht="15.75" customHeight="1">
      <c r="Q927" s="36"/>
    </row>
    <row r="928" ht="15.75" customHeight="1">
      <c r="Q928" s="36"/>
    </row>
    <row r="929" ht="15.75" customHeight="1">
      <c r="Q929" s="36"/>
    </row>
    <row r="930" ht="15.75" customHeight="1">
      <c r="Q930" s="36"/>
    </row>
    <row r="931" ht="15.75" customHeight="1">
      <c r="Q931" s="36"/>
    </row>
    <row r="932" ht="15.75" customHeight="1">
      <c r="Q932" s="36"/>
    </row>
    <row r="933" ht="15.75" customHeight="1">
      <c r="Q933" s="36"/>
    </row>
    <row r="934" ht="15.75" customHeight="1">
      <c r="Q934" s="36"/>
    </row>
    <row r="935" ht="15.75" customHeight="1">
      <c r="Q935" s="36"/>
    </row>
    <row r="936" ht="15.75" customHeight="1">
      <c r="Q936" s="36"/>
    </row>
    <row r="937" ht="15.75" customHeight="1">
      <c r="Q937" s="36"/>
    </row>
    <row r="938" ht="15.75" customHeight="1">
      <c r="Q938" s="36"/>
    </row>
    <row r="939" ht="15.75" customHeight="1">
      <c r="Q939" s="36"/>
    </row>
    <row r="940" ht="15.75" customHeight="1">
      <c r="Q940" s="36"/>
    </row>
    <row r="941" ht="15.75" customHeight="1">
      <c r="Q941" s="36"/>
    </row>
    <row r="942" ht="15.75" customHeight="1">
      <c r="Q942" s="36"/>
    </row>
    <row r="943" ht="15.75" customHeight="1">
      <c r="Q943" s="36"/>
    </row>
    <row r="944" ht="15.75" customHeight="1">
      <c r="Q944" s="36"/>
    </row>
    <row r="945" ht="15.75" customHeight="1">
      <c r="Q945" s="36"/>
    </row>
    <row r="946" ht="15.75" customHeight="1">
      <c r="Q946" s="36"/>
    </row>
    <row r="947" ht="15.75" customHeight="1">
      <c r="Q947" s="36"/>
    </row>
    <row r="948" ht="15.75" customHeight="1">
      <c r="Q948" s="36"/>
    </row>
    <row r="949" ht="15.75" customHeight="1">
      <c r="Q949" s="36"/>
    </row>
    <row r="950" ht="15.75" customHeight="1">
      <c r="Q950" s="36"/>
    </row>
    <row r="951" ht="15.75" customHeight="1">
      <c r="Q951" s="36"/>
    </row>
    <row r="952" ht="15.75" customHeight="1">
      <c r="Q952" s="36"/>
    </row>
    <row r="953" ht="15.75" customHeight="1">
      <c r="Q953" s="36"/>
    </row>
    <row r="954" ht="15.75" customHeight="1">
      <c r="Q954" s="36"/>
    </row>
    <row r="955" ht="15.75" customHeight="1">
      <c r="Q955" s="36"/>
    </row>
    <row r="956" ht="15.75" customHeight="1">
      <c r="Q956" s="36"/>
    </row>
    <row r="957" ht="15.75" customHeight="1">
      <c r="Q957" s="36"/>
    </row>
    <row r="958" ht="15.75" customHeight="1">
      <c r="Q958" s="36"/>
    </row>
    <row r="959" ht="15.75" customHeight="1">
      <c r="Q959" s="36"/>
    </row>
    <row r="960" ht="15.75" customHeight="1">
      <c r="Q960" s="36"/>
    </row>
    <row r="961" ht="15.75" customHeight="1">
      <c r="Q961" s="36"/>
    </row>
    <row r="962" ht="15.75" customHeight="1">
      <c r="Q962" s="36"/>
    </row>
    <row r="963" ht="15.75" customHeight="1">
      <c r="Q963" s="36"/>
    </row>
    <row r="964" ht="15.75" customHeight="1">
      <c r="Q964" s="36"/>
    </row>
    <row r="965" ht="15.75" customHeight="1">
      <c r="Q965" s="36"/>
    </row>
    <row r="966" ht="15.75" customHeight="1">
      <c r="Q966" s="36"/>
    </row>
    <row r="967" ht="15.75" customHeight="1">
      <c r="Q967" s="36"/>
    </row>
    <row r="968" ht="15.75" customHeight="1">
      <c r="Q968" s="36"/>
    </row>
    <row r="969" ht="15.75" customHeight="1">
      <c r="Q969" s="36"/>
    </row>
    <row r="970" ht="15.75" customHeight="1">
      <c r="Q970" s="36"/>
    </row>
    <row r="971" ht="15.75" customHeight="1">
      <c r="Q971" s="36"/>
    </row>
    <row r="972" ht="15.75" customHeight="1">
      <c r="Q972" s="36"/>
    </row>
    <row r="973" ht="15.75" customHeight="1">
      <c r="Q973" s="36"/>
    </row>
    <row r="974" ht="15.75" customHeight="1">
      <c r="Q974" s="36"/>
    </row>
    <row r="975" ht="15.75" customHeight="1">
      <c r="Q975" s="36"/>
    </row>
    <row r="976" ht="15.75" customHeight="1">
      <c r="Q976" s="36"/>
    </row>
    <row r="977" ht="15.75" customHeight="1">
      <c r="Q977" s="36"/>
    </row>
    <row r="978" ht="15.75" customHeight="1">
      <c r="Q978" s="36"/>
    </row>
    <row r="979" ht="15.75" customHeight="1">
      <c r="Q979" s="36"/>
    </row>
    <row r="980" ht="15.75" customHeight="1">
      <c r="Q980" s="36"/>
    </row>
    <row r="981" ht="15.75" customHeight="1">
      <c r="Q981" s="36"/>
    </row>
    <row r="982" ht="15.75" customHeight="1">
      <c r="Q982" s="36"/>
    </row>
    <row r="983" ht="15.75" customHeight="1">
      <c r="Q983" s="36"/>
    </row>
    <row r="984" ht="15.75" customHeight="1">
      <c r="Q984" s="36"/>
    </row>
    <row r="985" ht="15.75" customHeight="1">
      <c r="Q985" s="36"/>
    </row>
    <row r="986" ht="15.75" customHeight="1">
      <c r="Q986" s="36"/>
    </row>
    <row r="987" ht="15.75" customHeight="1">
      <c r="Q987" s="36"/>
    </row>
    <row r="988" ht="15.75" customHeight="1">
      <c r="Q988" s="36"/>
    </row>
    <row r="989" ht="15.75" customHeight="1">
      <c r="Q989" s="36"/>
    </row>
    <row r="990" ht="15.75" customHeight="1">
      <c r="Q990" s="36"/>
    </row>
    <row r="991" ht="15.75" customHeight="1">
      <c r="Q991" s="36"/>
    </row>
    <row r="992" ht="15.75" customHeight="1">
      <c r="Q992" s="36"/>
    </row>
    <row r="993" ht="15.75" customHeight="1">
      <c r="Q993" s="36"/>
    </row>
    <row r="994" ht="15.75" customHeight="1">
      <c r="Q994" s="36"/>
    </row>
    <row r="995" ht="15.75" customHeight="1">
      <c r="Q995" s="36"/>
    </row>
    <row r="996" ht="15.75" customHeight="1">
      <c r="Q996" s="36"/>
    </row>
    <row r="997" ht="15.75" customHeight="1">
      <c r="Q997" s="36"/>
    </row>
    <row r="998" ht="15.75" customHeight="1">
      <c r="Q998" s="36"/>
    </row>
    <row r="999" ht="15.75" customHeight="1">
      <c r="Q999" s="36"/>
    </row>
    <row r="1000" ht="15.75" customHeight="1">
      <c r="Q1000" s="36"/>
    </row>
  </sheetData>
  <printOptions/>
  <pageMargins bottom="0.75" footer="0.0" header="0.0" left="0.7" right="0.7" top="0.75"/>
  <pageSetup orientation="landscape"/>
  <drawing r:id="rId1"/>
</worksheet>
</file>