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 Parameters" sheetId="1" r:id="rId1"/>
    <sheet name="Cost Timeline" sheetId="2" r:id="rId2"/>
    <sheet name="Sensitivity Analysis" sheetId="3" r:id="rId3"/>
    <sheet name="Breakeven Analysis" sheetId="4" r:id="rId4"/>
  </sheets>
  <calcPr calcId="124519" fullCalcOnLoad="1"/>
</workbook>
</file>

<file path=xl/sharedStrings.xml><?xml version="1.0" encoding="utf-8"?>
<sst xmlns="http://schemas.openxmlformats.org/spreadsheetml/2006/main" count="180" uniqueCount="165">
  <si>
    <t>Build vs Buy Analysis - Input Parameters</t>
  </si>
  <si>
    <t>Build Timeline (months)</t>
  </si>
  <si>
    <t>Development duration</t>
  </si>
  <si>
    <t>FTE Cost (annual)</t>
  </si>
  <si>
    <t>Fully loaded annual cost per developer</t>
  </si>
  <si>
    <t>FTE Count</t>
  </si>
  <si>
    <t>Number of developers</t>
  </si>
  <si>
    <t>Success Probability</t>
  </si>
  <si>
    <t>Probability of successful delivery</t>
  </si>
  <si>
    <t>WACC Discount Rate</t>
  </si>
  <si>
    <t>Weighted average cost of capital</t>
  </si>
  <si>
    <t>Useful Life (years)</t>
  </si>
  <si>
    <t>Asset useful life</t>
  </si>
  <si>
    <t>Risk Factors</t>
  </si>
  <si>
    <t>Technical Risk</t>
  </si>
  <si>
    <t>Additional cost risk %</t>
  </si>
  <si>
    <t>Vendor Risk</t>
  </si>
  <si>
    <t>Vendor-related cost risk %</t>
  </si>
  <si>
    <t>Market Risk</t>
  </si>
  <si>
    <t>Market change risk %</t>
  </si>
  <si>
    <t>Additional Costs</t>
  </si>
  <si>
    <t>CapEx Investment</t>
  </si>
  <si>
    <t>Infrastructure/hardware costs</t>
  </si>
  <si>
    <t>Miscellaneous Costs</t>
  </si>
  <si>
    <t>Other one-time costs</t>
  </si>
  <si>
    <t>Monthly Amortization</t>
  </si>
  <si>
    <t>Monthly recurring costs during build</t>
  </si>
  <si>
    <t>Annual Maintenance</t>
  </si>
  <si>
    <t>Ongoing annual maintenance</t>
  </si>
  <si>
    <t>Maintenance Escalation</t>
  </si>
  <si>
    <t>Annual maintenance cost increase %</t>
  </si>
  <si>
    <t>Calculated Values</t>
  </si>
  <si>
    <t>Total FTE Costs ($)</t>
  </si>
  <si>
    <t>Total labor costs (success-adjusted)</t>
  </si>
  <si>
    <t>Build vs Buy Cost Analysis Timeline</t>
  </si>
  <si>
    <t>Cost Component</t>
  </si>
  <si>
    <t>Year 0</t>
  </si>
  <si>
    <t>Year 1</t>
  </si>
  <si>
    <t>Year 2</t>
  </si>
  <si>
    <t>Year 3</t>
  </si>
  <si>
    <t>Year 4</t>
  </si>
  <si>
    <t>Year 5</t>
  </si>
  <si>
    <t>Total NPV</t>
  </si>
  <si>
    <t>Notes</t>
  </si>
  <si>
    <t>🏗️ BUILD OPTION COSTS</t>
  </si>
  <si>
    <t>Development Labor (Success-Adjusted)</t>
  </si>
  <si>
    <t>Risk-adjusted labor costs</t>
  </si>
  <si>
    <t>Infrastructure CapEx</t>
  </si>
  <si>
    <t>Hardware, software, setup costs</t>
  </si>
  <si>
    <t>Training, migration, other setup</t>
  </si>
  <si>
    <t>Annual Maintenance &amp; Support</t>
  </si>
  <si>
    <t>Ongoing operational costs</t>
  </si>
  <si>
    <t>Risk Premium (Additional Cost)</t>
  </si>
  <si>
    <t>Additional cost due to technical, vendor, and market risks</t>
  </si>
  <si>
    <t>TOTAL BUILD COST (NPV)</t>
  </si>
  <si>
    <t>Total build option cost with risk adjustments</t>
  </si>
  <si>
    <t>Annual Build Costs Summary</t>
  </si>
  <si>
    <t>Annual build costs before risk adjustment</t>
  </si>
  <si>
    <t>🛒 BUY OPTION COSTS</t>
  </si>
  <si>
    <t>TOTAL BUY COST (NPV)</t>
  </si>
  <si>
    <t>No buy option configured</t>
  </si>
  <si>
    <t>⚖️ DECISION ANALYSIS</t>
  </si>
  <si>
    <t>NPV Difference (Build - Buy)</t>
  </si>
  <si>
    <t>Positive = Build costs more, Negative = Buy costs more</t>
  </si>
  <si>
    <t>Cost Impact (%)</t>
  </si>
  <si>
    <t>Percentage cost difference (negative = savings)</t>
  </si>
  <si>
    <t>Break-even Build Cost</t>
  </si>
  <si>
    <t>Build cost at which both options are equal</t>
  </si>
  <si>
    <t>Recommendation</t>
  </si>
  <si>
    <t>Based on NPV analysis considering all risk factors</t>
  </si>
  <si>
    <t>Decision Confidence</t>
  </si>
  <si>
    <t>High = &gt;10% difference, Medium = 5-10%, Low = &lt;5%</t>
  </si>
  <si>
    <t>📊 Sensitivity Analysis - Interactive Decision Tool</t>
  </si>
  <si>
    <t>Adjust parameters below to see real-time impact on Build vs Buy decision</t>
  </si>
  <si>
    <t>🎛️ INTERACTIVE CONTROLS</t>
  </si>
  <si>
    <t>Parameter</t>
  </si>
  <si>
    <t>Current Value</t>
  </si>
  <si>
    <t>Low Range</t>
  </si>
  <si>
    <t>High Range</t>
  </si>
  <si>
    <t>Impact Score</t>
  </si>
  <si>
    <t>Team Size (FTEs)</t>
  </si>
  <si>
    <t>Success Probability (%)</t>
  </si>
  <si>
    <t>Combined Risk (%)</t>
  </si>
  <si>
    <t>Misc Costs ($)</t>
  </si>
  <si>
    <t>⚡ REAL-TIME RESULTS</t>
  </si>
  <si>
    <t>Dynamic Build Cost (PV)</t>
  </si>
  <si>
    <t>Labor cost adjusted for success probability</t>
  </si>
  <si>
    <t>Buy Cost (Reference)</t>
  </si>
  <si>
    <t>Static reference value</t>
  </si>
  <si>
    <t>Positive = Build costs more</t>
  </si>
  <si>
    <t>Based on cost difference</t>
  </si>
  <si>
    <t>💰 Cost Driver Analysis</t>
  </si>
  <si>
    <t>Step-by-step cost calculation showing how each component builds up:</t>
  </si>
  <si>
    <t>Calculation Method</t>
  </si>
  <si>
    <t>1. Core Labor Cost</t>
  </si>
  <si>
    <t>Timeline × FTE Cost × Team Size ÷ 12</t>
  </si>
  <si>
    <t>2. Success-Adjusted Cost</t>
  </si>
  <si>
    <t>Core Labor ÷ Success Probability</t>
  </si>
  <si>
    <t>3. Plus Miscellaneous Costs</t>
  </si>
  <si>
    <t>Success-Adjusted + Misc Costs</t>
  </si>
  <si>
    <t>4. Final Build Cost (with Risk)</t>
  </si>
  <si>
    <t>(Adjusted + Misc) × (1 + Risk %)</t>
  </si>
  <si>
    <t>📈 Parameter Sensitivity Analysis</t>
  </si>
  <si>
    <t>Each row tests ONE parameter while keeping all others constant:</t>
  </si>
  <si>
    <t>Parameter Impact</t>
  </si>
  <si>
    <t>Optimistic Case</t>
  </si>
  <si>
    <t>Current Scenario</t>
  </si>
  <si>
    <t>Conservative Case</t>
  </si>
  <si>
    <t>Cost Swing</t>
  </si>
  <si>
    <t>Timeline</t>
  </si>
  <si>
    <t>Labor Rate</t>
  </si>
  <si>
    <t>Team Size</t>
  </si>
  <si>
    <t>Success Rate</t>
  </si>
  <si>
    <t>Risk Premium</t>
  </si>
  <si>
    <t>📋 How to Use This Analysis</t>
  </si>
  <si>
    <t>• Orange cells are editable - adjust values to test different scenarios</t>
  </si>
  <si>
    <t>• Green = optimistic outcomes (lower costs), Red = conservative outcomes (higher costs)</t>
  </si>
  <si>
    <t>• Cost Swing shows the dollar impact range for each parameter</t>
  </si>
  <si>
    <t>• Focus on parameters with the largest cost swings for the biggest decision impact</t>
  </si>
  <si>
    <t>• All calculations update automatically when you change input values</t>
  </si>
  <si>
    <t>Key Insights:</t>
  </si>
  <si>
    <t>• Parameters with high cost swings deserve the most attention in planning</t>
  </si>
  <si>
    <t>• Success probability has inverse relationship: higher % = lower total cost</t>
  </si>
  <si>
    <t>• Risk factors multiply the base cost, so small % changes have big impacts</t>
  </si>
  <si>
    <t>⚖️ Breakeven Analysis - Find the Tipping Point</t>
  </si>
  <si>
    <t>Determine the exact values where Build vs Buy decision changes</t>
  </si>
  <si>
    <t>📊 CURRENT SCENARIO BASELINE</t>
  </si>
  <si>
    <t>Current Build Cost (PV)</t>
  </si>
  <si>
    <t>Current Buy Cost</t>
  </si>
  <si>
    <t>Current Difference (Build - Buy)</t>
  </si>
  <si>
    <t>Current Recommendation</t>
  </si>
  <si>
    <t>🎯 BREAKEVEN PARAMETER ANALYSIS</t>
  </si>
  <si>
    <t>Find the exact parameter value where Build cost equals Buy cost</t>
  </si>
  <si>
    <t>Breakeven Value</t>
  </si>
  <si>
    <t>Change Required</t>
  </si>
  <si>
    <t>Interpretation</t>
  </si>
  <si>
    <t>💰 BUY COST SCENARIOS</t>
  </si>
  <si>
    <t>Test different buy cost scenarios to see when the decision flips</t>
  </si>
  <si>
    <t>Buy Cost Scenario</t>
  </si>
  <si>
    <t>Buy Cost ($)</t>
  </si>
  <si>
    <t>Build Cost ($)</t>
  </si>
  <si>
    <t>Difference ($)</t>
  </si>
  <si>
    <t>25% Lower Buy Cost</t>
  </si>
  <si>
    <t>25% Higher Buy Cost</t>
  </si>
  <si>
    <t>Exact Breakeven</t>
  </si>
  <si>
    <t>INDIFFERENT</t>
  </si>
  <si>
    <t>⚠️ RISK TOLERANCE ANALYSIS</t>
  </si>
  <si>
    <t>How much total risk can the build option absorb before buy becomes better?</t>
  </si>
  <si>
    <t>Base Cost (no risk)</t>
  </si>
  <si>
    <t>Maximum Risk Tolerance</t>
  </si>
  <si>
    <t>% (combined tech + vendor + market)</t>
  </si>
  <si>
    <t>Current Risk Level</t>
  </si>
  <si>
    <t>% (current combined risk)</t>
  </si>
  <si>
    <t>Risk Headroom</t>
  </si>
  <si>
    <t>📋 KEY INSIGHTS &amp; INTERPRETATION</t>
  </si>
  <si>
    <t>🎯 Breakeven Values: The exact parameter values where Build = Buy</t>
  </si>
  <si>
    <t>📊 Change Required: How much each parameter needs to shift to flip the decision</t>
  </si>
  <si>
    <t>💡 Risk Tolerance: Maximum combined risk the build option can absorb</t>
  </si>
  <si>
    <t>⚖️ Decision Sensitivity: Parameters closest to their breakeven values are most critical</t>
  </si>
  <si>
    <t>🔄 Use orange cells to test 'what-if' scenarios in real-time</t>
  </si>
  <si>
    <t>Strategic Recommendations:</t>
  </si>
  <si>
    <t>• Focus risk mitigation on parameters closest to breakeven values</t>
  </si>
  <si>
    <t>• If risk headroom is negative, consider buy option or reduce risk factors</t>
  </si>
  <si>
    <t>• Monitor market conditions for buy cost changes that could flip the decision</t>
  </si>
  <si>
    <t>• Use scenarios to stress-test your assumptions before final decision</t>
  </si>
</sst>
</file>

<file path=xl/styles.xml><?xml version="1.0" encoding="utf-8"?>
<styleSheet xmlns="http://schemas.openxmlformats.org/spreadsheetml/2006/main">
  <numFmts count="4">
    <numFmt numFmtId="164" formatCode="$#,##0"/>
    <numFmt numFmtId="165" formatCode="0.0%"/>
    <numFmt numFmtId="166" formatCode="0.0"/>
    <numFmt numFmtId="167" formatCode="0.00"/>
  </numFmts>
  <fonts count="4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6CC"/>
        <bgColor indexed="64"/>
      </patternFill>
    </fill>
    <fill>
      <patternFill patternType="solid">
        <fgColor rgb="FFE6F3FF"/>
        <bgColor indexed="64"/>
      </patternFill>
    </fill>
    <fill>
      <patternFill patternType="solid">
        <fgColor rgb="FFFFC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0" borderId="1" xfId="0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" fontId="2" fillId="6" borderId="1" xfId="0" applyNumberFormat="1" applyFont="1" applyFill="1" applyBorder="1" applyAlignment="1" applyProtection="1">
      <alignment horizontal="center"/>
      <protection locked="0"/>
    </xf>
    <xf numFmtId="166" fontId="2" fillId="7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 applyProtection="1">
      <alignment horizontal="right"/>
      <protection locked="0"/>
    </xf>
    <xf numFmtId="164" fontId="0" fillId="7" borderId="1" xfId="0" applyNumberFormat="1" applyFill="1" applyBorder="1" applyAlignment="1">
      <alignment horizontal="right"/>
    </xf>
    <xf numFmtId="164" fontId="0" fillId="8" borderId="1" xfId="0" applyNumberFormat="1" applyFill="1" applyBorder="1" applyAlignment="1">
      <alignment horizontal="right"/>
    </xf>
    <xf numFmtId="166" fontId="2" fillId="7" borderId="1" xfId="0" applyNumberFormat="1" applyFont="1" applyFill="1" applyBorder="1" applyAlignment="1">
      <alignment horizontal="right"/>
    </xf>
    <xf numFmtId="167" fontId="0" fillId="0" borderId="1" xfId="0" applyNumberFormat="1" applyBorder="1" applyAlignment="1">
      <alignment horizontal="right"/>
    </xf>
    <xf numFmtId="164" fontId="2" fillId="7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4"/>
  <sheetViews>
    <sheetView tabSelected="1" workbookViewId="0"/>
  </sheetViews>
  <sheetFormatPr defaultRowHeight="15"/>
  <cols>
    <col min="1" max="1" width="25.7109375" customWidth="1"/>
    <col min="2" max="2" width="15.7109375" customWidth="1"/>
    <col min="3" max="3" width="50.7109375" customWidth="1"/>
  </cols>
  <sheetData>
    <row r="1" spans="1:3">
      <c r="A1" s="1" t="s">
        <v>0</v>
      </c>
      <c r="B1" s="1"/>
      <c r="C1" s="1"/>
    </row>
    <row r="3" spans="1:3">
      <c r="A3" s="2" t="s">
        <v>1</v>
      </c>
      <c r="B3" s="3">
        <v>15</v>
      </c>
      <c r="C3" s="4" t="s">
        <v>2</v>
      </c>
    </row>
    <row r="4" spans="1:3">
      <c r="A4" s="2" t="s">
        <v>3</v>
      </c>
      <c r="B4" s="3">
        <v>180000</v>
      </c>
      <c r="C4" s="4" t="s">
        <v>4</v>
      </c>
    </row>
    <row r="5" spans="1:3">
      <c r="A5" s="2" t="s">
        <v>5</v>
      </c>
      <c r="B5" s="3">
        <v>3</v>
      </c>
      <c r="C5" s="4" t="s">
        <v>6</v>
      </c>
    </row>
    <row r="6" spans="1:3">
      <c r="A6" s="2" t="s">
        <v>7</v>
      </c>
      <c r="B6" s="3">
        <v>0.85</v>
      </c>
      <c r="C6" s="4" t="s">
        <v>8</v>
      </c>
    </row>
    <row r="7" spans="1:3">
      <c r="A7" s="2" t="s">
        <v>9</v>
      </c>
      <c r="B7" s="3">
        <v>0.1</v>
      </c>
      <c r="C7" s="4" t="s">
        <v>10</v>
      </c>
    </row>
    <row r="8" spans="1:3">
      <c r="A8" s="2" t="s">
        <v>11</v>
      </c>
      <c r="B8" s="3">
        <v>5</v>
      </c>
      <c r="C8" s="4" t="s">
        <v>12</v>
      </c>
    </row>
    <row r="10" spans="1:3">
      <c r="A10" s="5" t="s">
        <v>13</v>
      </c>
    </row>
    <row r="11" spans="1:3">
      <c r="A11" s="2" t="s">
        <v>14</v>
      </c>
      <c r="B11" s="3">
        <v>0.15</v>
      </c>
      <c r="C11" s="4" t="s">
        <v>15</v>
      </c>
    </row>
    <row r="12" spans="1:3">
      <c r="A12" s="2" t="s">
        <v>16</v>
      </c>
      <c r="B12" s="3">
        <v>0.08</v>
      </c>
      <c r="C12" s="4" t="s">
        <v>17</v>
      </c>
    </row>
    <row r="13" spans="1:3">
      <c r="A13" s="2" t="s">
        <v>18</v>
      </c>
      <c r="B13" s="3">
        <v>0.05</v>
      </c>
      <c r="C13" s="4" t="s">
        <v>19</v>
      </c>
    </row>
    <row r="15" spans="1:3">
      <c r="A15" s="5" t="s">
        <v>20</v>
      </c>
    </row>
    <row r="16" spans="1:3">
      <c r="A16" s="2" t="s">
        <v>21</v>
      </c>
      <c r="B16" s="3">
        <v>0</v>
      </c>
      <c r="C16" s="4" t="s">
        <v>22</v>
      </c>
    </row>
    <row r="17" spans="1:3">
      <c r="A17" s="2" t="s">
        <v>23</v>
      </c>
      <c r="B17" s="3">
        <v>0</v>
      </c>
      <c r="C17" s="4" t="s">
        <v>24</v>
      </c>
    </row>
    <row r="18" spans="1:3">
      <c r="A18" s="2" t="s">
        <v>25</v>
      </c>
      <c r="B18" s="3">
        <v>0</v>
      </c>
      <c r="C18" s="4" t="s">
        <v>26</v>
      </c>
    </row>
    <row r="19" spans="1:3">
      <c r="A19" s="2" t="s">
        <v>27</v>
      </c>
      <c r="B19" s="3">
        <v>0</v>
      </c>
      <c r="C19" s="4" t="s">
        <v>28</v>
      </c>
    </row>
    <row r="20" spans="1:3">
      <c r="A20" s="2" t="s">
        <v>29</v>
      </c>
      <c r="B20" s="3">
        <v>0.03</v>
      </c>
      <c r="C20" s="4" t="s">
        <v>30</v>
      </c>
    </row>
    <row r="23" spans="1:3">
      <c r="A23" s="5" t="s">
        <v>31</v>
      </c>
    </row>
    <row r="24" spans="1:3">
      <c r="A24" s="2" t="s">
        <v>32</v>
      </c>
      <c r="B24" s="6">
        <f>('Input Parameters'!B3/12)*'Input Parameters'!B4*'Input Parameters'!B5/'Input Parameters'!B6</f>
        <v>0</v>
      </c>
      <c r="C24" s="4" t="s">
        <v>33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"/>
  <sheetViews>
    <sheetView workbookViewId="0"/>
  </sheetViews>
  <sheetFormatPr defaultRowHeight="15"/>
  <cols>
    <col min="1" max="1" width="25.7109375" customWidth="1"/>
    <col min="2" max="7" width="12.7109375" customWidth="1"/>
    <col min="8" max="8" width="15.7109375" customWidth="1"/>
    <col min="9" max="9" width="40.7109375" customWidth="1"/>
  </cols>
  <sheetData>
    <row r="1" spans="1:9" ht="25" customHeight="1">
      <c r="A1" s="1" t="s">
        <v>34</v>
      </c>
      <c r="B1" s="1"/>
      <c r="C1" s="1"/>
      <c r="D1" s="1"/>
      <c r="E1" s="1"/>
      <c r="F1" s="1"/>
      <c r="G1" s="1"/>
      <c r="H1" s="1"/>
      <c r="I1" s="1"/>
    </row>
    <row r="3" spans="1:9">
      <c r="A3" s="5" t="s">
        <v>35</v>
      </c>
      <c r="B3" s="5" t="s">
        <v>36</v>
      </c>
      <c r="C3" s="5" t="s">
        <v>37</v>
      </c>
      <c r="D3" s="5" t="s">
        <v>38</v>
      </c>
      <c r="E3" s="5" t="s">
        <v>39</v>
      </c>
      <c r="F3" s="5" t="s">
        <v>40</v>
      </c>
      <c r="G3" s="5" t="s">
        <v>41</v>
      </c>
      <c r="H3" s="5" t="s">
        <v>42</v>
      </c>
      <c r="I3" s="5" t="s">
        <v>43</v>
      </c>
    </row>
    <row r="4" spans="1:9">
      <c r="A4" s="1" t="s">
        <v>44</v>
      </c>
      <c r="B4" s="1"/>
    </row>
    <row r="6" spans="1:9">
      <c r="A6" s="4" t="s">
        <v>45</v>
      </c>
      <c r="B6" s="7">
        <f>'Input Parameters'!B24</f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8">
        <f>'Input Parameters'!B24</f>
        <v>0</v>
      </c>
      <c r="I6" s="4" t="s">
        <v>46</v>
      </c>
    </row>
    <row r="7" spans="1:9">
      <c r="A7" s="4" t="s">
        <v>47</v>
      </c>
      <c r="B7" s="7">
        <f>'Input Parameters'!B16</f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8">
        <f>'Input Parameters'!B16</f>
        <v>0</v>
      </c>
      <c r="I7" s="4" t="s">
        <v>48</v>
      </c>
    </row>
    <row r="8" spans="1:9">
      <c r="A8" s="4" t="s">
        <v>23</v>
      </c>
      <c r="B8" s="7">
        <f>'Input Parameters'!B17</f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8">
        <f>'Input Parameters'!B17</f>
        <v>0</v>
      </c>
      <c r="I8" s="4" t="s">
        <v>49</v>
      </c>
    </row>
    <row r="9" spans="1:9">
      <c r="A9" s="4" t="s">
        <v>50</v>
      </c>
      <c r="B9" s="7">
        <v>0</v>
      </c>
      <c r="C9" s="7">
        <f>'Input Parameters'!B19*(1+'Input Parameters'!B20)^(0)</f>
        <v>0</v>
      </c>
      <c r="D9" s="7">
        <f>'Input Parameters'!B19*(1+'Input Parameters'!B20)^(1)</f>
        <v>0</v>
      </c>
      <c r="E9" s="7">
        <f>'Input Parameters'!B19*(1+'Input Parameters'!B20)^(2)</f>
        <v>0</v>
      </c>
      <c r="F9" s="7">
        <f>'Input Parameters'!B19*(1+'Input Parameters'!B20)^(3)</f>
        <v>0</v>
      </c>
      <c r="G9" s="7">
        <f>'Input Parameters'!B19*(1+'Input Parameters'!B20)^(4)</f>
        <v>0</v>
      </c>
      <c r="H9" s="8">
        <f>'Input Parameters'!B19*((1-((1+'Input Parameters'!B20)/(1+'Input Parameters'!B7))^5)/('Input Parameters'!B7-'Input Parameters'!B20))</f>
        <v>0</v>
      </c>
      <c r="I9" s="4" t="s">
        <v>51</v>
      </c>
    </row>
    <row r="11" spans="1:9">
      <c r="A11" s="2" t="s">
        <v>52</v>
      </c>
      <c r="H11" s="8">
        <f>(H6+H7+H8)*('Input Parameters'!B11+'Input Parameters'!B12+'Input Parameters'!B13)</f>
        <v>0</v>
      </c>
      <c r="I11" s="4" t="s">
        <v>53</v>
      </c>
    </row>
    <row r="13" spans="1:9">
      <c r="A13" s="1" t="s">
        <v>54</v>
      </c>
      <c r="H13" s="8">
        <f>H6+H7+H8+H9+H11</f>
        <v>0</v>
      </c>
      <c r="I13" s="2" t="s">
        <v>55</v>
      </c>
    </row>
    <row r="15" spans="1:9">
      <c r="A15" s="2" t="s">
        <v>56</v>
      </c>
      <c r="B15" s="7">
        <f>B6+B7+B8+B9</f>
        <v>0</v>
      </c>
      <c r="C15" s="7">
        <f>C6+C7+C8+C9</f>
        <v>0</v>
      </c>
      <c r="D15" s="7">
        <f>D6+D7+D8+D9</f>
        <v>0</v>
      </c>
      <c r="E15" s="7">
        <f>E6+E7+E8+E9</f>
        <v>0</v>
      </c>
      <c r="F15" s="7">
        <f>F6+F7+F8+F9</f>
        <v>0</v>
      </c>
      <c r="G15" s="7">
        <f>G6+G7+G8+G9</f>
        <v>0</v>
      </c>
      <c r="I15" s="4" t="s">
        <v>57</v>
      </c>
    </row>
    <row r="18" spans="1:9">
      <c r="A18" s="1" t="s">
        <v>58</v>
      </c>
      <c r="B18" s="1"/>
    </row>
    <row r="21" spans="1:9">
      <c r="A21" s="1" t="s">
        <v>59</v>
      </c>
      <c r="H21" s="8">
        <v>0</v>
      </c>
      <c r="I21" s="4" t="s">
        <v>60</v>
      </c>
    </row>
    <row r="24" spans="1:9">
      <c r="A24" s="1" t="s">
        <v>61</v>
      </c>
      <c r="B24" s="1"/>
    </row>
    <row r="26" spans="1:9">
      <c r="A26" s="2" t="s">
        <v>62</v>
      </c>
      <c r="H26" s="8">
        <f>H13-H21</f>
        <v>0</v>
      </c>
      <c r="I26" s="4" t="s">
        <v>63</v>
      </c>
    </row>
    <row r="27" spans="1:9">
      <c r="A27" s="2" t="s">
        <v>64</v>
      </c>
      <c r="H27" s="9">
        <f>H26/H21</f>
        <v>0</v>
      </c>
      <c r="I27" s="4" t="s">
        <v>65</v>
      </c>
    </row>
    <row r="28" spans="1:9">
      <c r="A28" s="2" t="s">
        <v>66</v>
      </c>
      <c r="H28" s="8">
        <f>H21</f>
        <v>0</v>
      </c>
      <c r="I28" s="4" t="s">
        <v>67</v>
      </c>
    </row>
    <row r="29" spans="1:9">
      <c r="A29" s="2" t="s">
        <v>68</v>
      </c>
      <c r="H29" s="2">
        <f>IF(H26&lt;0,"Build","Buy")</f>
        <v>0</v>
      </c>
      <c r="I29" s="4" t="s">
        <v>69</v>
      </c>
    </row>
    <row r="30" spans="1:9">
      <c r="A30" s="2" t="s">
        <v>70</v>
      </c>
      <c r="H30" s="2">
        <f>IF(ABS(H26)&gt;H21*0.1,"High",IF(ABS(H26)&gt;H21*0.05,"Medium","Low"))</f>
        <v>0</v>
      </c>
      <c r="I30" s="4" t="s">
        <v>71</v>
      </c>
    </row>
  </sheetData>
  <mergeCells count="4">
    <mergeCell ref="A1:I1"/>
    <mergeCell ref="A4:B4"/>
    <mergeCell ref="A18:B18"/>
    <mergeCell ref="A24:B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9"/>
  <sheetViews>
    <sheetView workbookViewId="0"/>
  </sheetViews>
  <sheetFormatPr defaultRowHeight="15"/>
  <cols>
    <col min="1" max="1" width="25.7109375" customWidth="1"/>
    <col min="2" max="2" width="15.7109375" customWidth="1"/>
    <col min="3" max="4" width="12.7109375" customWidth="1"/>
    <col min="5" max="5" width="15.7109375" customWidth="1"/>
  </cols>
  <sheetData>
    <row r="1" spans="1:6">
      <c r="A1" s="1" t="s">
        <v>72</v>
      </c>
      <c r="B1" s="1"/>
      <c r="C1" s="1"/>
      <c r="D1" s="1"/>
      <c r="E1" s="1"/>
      <c r="F1" s="1"/>
    </row>
    <row r="3" spans="1:6">
      <c r="A3" s="4" t="s">
        <v>73</v>
      </c>
    </row>
    <row r="4" spans="1:6">
      <c r="A4" s="5" t="s">
        <v>74</v>
      </c>
      <c r="B4" s="5"/>
      <c r="C4" s="5"/>
      <c r="D4" s="5"/>
      <c r="E4" s="5"/>
    </row>
    <row r="6" spans="1:6">
      <c r="A6" s="2" t="s">
        <v>75</v>
      </c>
      <c r="B6" s="2" t="s">
        <v>76</v>
      </c>
      <c r="C6" s="2" t="s">
        <v>77</v>
      </c>
      <c r="D6" s="2" t="s">
        <v>78</v>
      </c>
      <c r="E6" s="2" t="s">
        <v>79</v>
      </c>
    </row>
    <row r="7" spans="1:6">
      <c r="A7" s="4" t="s">
        <v>1</v>
      </c>
      <c r="B7" s="10">
        <v>15</v>
      </c>
      <c r="C7" s="10">
        <v>10.5</v>
      </c>
      <c r="D7" s="10">
        <v>22.5</v>
      </c>
      <c r="E7" s="11">
        <v>80</v>
      </c>
    </row>
    <row r="8" spans="1:6">
      <c r="A8" s="4" t="s">
        <v>3</v>
      </c>
      <c r="B8" s="12">
        <v>180000</v>
      </c>
      <c r="C8" s="12">
        <v>144000</v>
      </c>
      <c r="D8" s="12">
        <v>234000</v>
      </c>
      <c r="E8" s="11">
        <v>50</v>
      </c>
    </row>
    <row r="9" spans="1:6">
      <c r="A9" s="4" t="s">
        <v>80</v>
      </c>
      <c r="B9" s="10">
        <v>3</v>
      </c>
      <c r="C9" s="10">
        <v>2.25</v>
      </c>
      <c r="D9" s="10">
        <v>4.5</v>
      </c>
      <c r="E9" s="11">
        <v>75</v>
      </c>
    </row>
    <row r="10" spans="1:6">
      <c r="A10" s="4" t="s">
        <v>81</v>
      </c>
      <c r="B10" s="10">
        <v>85</v>
      </c>
      <c r="C10" s="10">
        <v>65</v>
      </c>
      <c r="D10" s="10">
        <v>95</v>
      </c>
      <c r="E10" s="11">
        <v>35.29411764705883</v>
      </c>
    </row>
    <row r="11" spans="1:6">
      <c r="A11" s="4" t="s">
        <v>82</v>
      </c>
      <c r="B11" s="10">
        <v>28</v>
      </c>
      <c r="C11" s="10">
        <v>18</v>
      </c>
      <c r="D11" s="10">
        <v>48</v>
      </c>
      <c r="E11" s="11">
        <v>107.1428571428571</v>
      </c>
    </row>
    <row r="12" spans="1:6">
      <c r="A12" s="4" t="s">
        <v>83</v>
      </c>
      <c r="B12" s="12">
        <v>0</v>
      </c>
      <c r="C12" s="12">
        <v>0</v>
      </c>
      <c r="D12" s="12">
        <v>0</v>
      </c>
      <c r="E12" s="11">
        <v>0</v>
      </c>
    </row>
    <row r="13" spans="1:6">
      <c r="A13" s="5" t="s">
        <v>84</v>
      </c>
      <c r="B13" s="5"/>
      <c r="C13" s="5"/>
      <c r="D13" s="5"/>
      <c r="E13" s="5"/>
    </row>
    <row r="15" spans="1:6">
      <c r="A15" s="2" t="s">
        <v>85</v>
      </c>
      <c r="B15" s="13">
        <f>(B7/12)*B8*B9/(B10/100)</f>
        <v>0</v>
      </c>
      <c r="C15" s="4" t="s">
        <v>86</v>
      </c>
    </row>
    <row r="16" spans="1:6">
      <c r="A16" s="2" t="s">
        <v>87</v>
      </c>
      <c r="B16" s="7">
        <v>920000</v>
      </c>
      <c r="C16" s="4" t="s">
        <v>88</v>
      </c>
    </row>
    <row r="17" spans="1:5">
      <c r="A17" s="2" t="s">
        <v>62</v>
      </c>
      <c r="B17" s="13">
        <f>B15-B16</f>
        <v>0</v>
      </c>
      <c r="C17" s="4" t="s">
        <v>89</v>
      </c>
    </row>
    <row r="18" spans="1:5">
      <c r="A18" s="2" t="s">
        <v>68</v>
      </c>
      <c r="B18" s="2">
        <f>IF(B17&lt;0,"BUILD","BUY")</f>
        <v>0</v>
      </c>
      <c r="C18" s="4" t="s">
        <v>90</v>
      </c>
    </row>
    <row r="19" spans="1:5">
      <c r="A19" s="5" t="s">
        <v>91</v>
      </c>
      <c r="B19" s="5"/>
      <c r="C19" s="5"/>
      <c r="D19" s="5"/>
      <c r="E19" s="5"/>
    </row>
    <row r="21" spans="1:5">
      <c r="A21" s="4" t="s">
        <v>92</v>
      </c>
    </row>
    <row r="23" spans="1:5">
      <c r="A23" s="2" t="s">
        <v>35</v>
      </c>
      <c r="B23" s="2" t="s">
        <v>76</v>
      </c>
      <c r="C23" s="2" t="s">
        <v>93</v>
      </c>
    </row>
    <row r="24" spans="1:5">
      <c r="A24" s="4" t="s">
        <v>94</v>
      </c>
      <c r="B24" s="7">
        <f>(B7/12)*B8*B9</f>
        <v>0</v>
      </c>
      <c r="C24" s="4" t="s">
        <v>95</v>
      </c>
    </row>
    <row r="25" spans="1:5">
      <c r="A25" s="4" t="s">
        <v>96</v>
      </c>
      <c r="B25" s="7">
        <f>(B7/12)*B8*B9/(B10/100)</f>
        <v>0</v>
      </c>
      <c r="C25" s="4" t="s">
        <v>97</v>
      </c>
    </row>
    <row r="26" spans="1:5">
      <c r="A26" s="4" t="s">
        <v>98</v>
      </c>
      <c r="B26" s="7">
        <f>(B7/12)*B8*B9/(B10/100)+B12</f>
        <v>0</v>
      </c>
      <c r="C26" s="4" t="s">
        <v>99</v>
      </c>
    </row>
    <row r="27" spans="1:5">
      <c r="A27" s="2" t="s">
        <v>100</v>
      </c>
      <c r="B27" s="8">
        <f>((B7/12)*B8*B9/(B10/100)+B12)*(1+B11/100)</f>
        <v>0</v>
      </c>
      <c r="C27" s="2" t="s">
        <v>101</v>
      </c>
    </row>
    <row r="28" spans="1:5">
      <c r="A28" s="5" t="s">
        <v>102</v>
      </c>
      <c r="B28" s="5"/>
      <c r="C28" s="5"/>
      <c r="D28" s="5"/>
      <c r="E28" s="5"/>
    </row>
    <row r="30" spans="1:5">
      <c r="A30" s="4" t="s">
        <v>103</v>
      </c>
    </row>
    <row r="32" spans="1:5">
      <c r="A32" s="2" t="s">
        <v>104</v>
      </c>
      <c r="B32" s="2" t="s">
        <v>105</v>
      </c>
      <c r="C32" s="2" t="s">
        <v>106</v>
      </c>
      <c r="D32" s="2" t="s">
        <v>107</v>
      </c>
      <c r="E32" s="2" t="s">
        <v>108</v>
      </c>
    </row>
    <row r="33" spans="1:5">
      <c r="A33" s="4" t="s">
        <v>109</v>
      </c>
      <c r="B33" s="6">
        <f>((C7/12)*B8*B9/(B10/100)+B12)*(1+B11/100)</f>
        <v>0</v>
      </c>
      <c r="C33" s="7">
        <f>((B7/12)*B8*B9/(B10/100)+B12)*(1+B11/100)</f>
        <v>0</v>
      </c>
      <c r="D33" s="14">
        <f>((D7/12)*B8*B9/(B10/100)+B12)*(1+B11/100)</f>
        <v>0</v>
      </c>
      <c r="E33" s="8">
        <f>((D7/12)*B8*B9/(B10/100)+B12)*(1+B11/100)-((C7/12)*B8*B9/(B10/100)+B12)*(1+B11/100)</f>
        <v>0</v>
      </c>
    </row>
    <row r="34" spans="1:5">
      <c r="A34" s="4" t="s">
        <v>110</v>
      </c>
      <c r="B34" s="6">
        <f>((B7/12)*C8*B9/(B10/100)+B12)*(1+B11/100)</f>
        <v>0</v>
      </c>
      <c r="C34" s="7">
        <f>((B7/12)*B8*B9/(B10/100)+B12)*(1+B11/100)</f>
        <v>0</v>
      </c>
      <c r="D34" s="14">
        <f>((B7/12)*D8*B9/(B10/100)+B12)*(1+B11/100)</f>
        <v>0</v>
      </c>
      <c r="E34" s="8">
        <f>((B7/12)*D8*B9/(B10/100)+B12)*(1+B11/100)-((B7/12)*C8*B9/(B10/100)+B12)*(1+B11/100)</f>
        <v>0</v>
      </c>
    </row>
    <row r="35" spans="1:5">
      <c r="A35" s="4" t="s">
        <v>111</v>
      </c>
      <c r="B35" s="6">
        <f>((B7/12)*B8*C9/(B10/100)+B12)*(1+B11/100)</f>
        <v>0</v>
      </c>
      <c r="C35" s="7">
        <f>((B7/12)*B8*B9/(B10/100)+B12)*(1+B11/100)</f>
        <v>0</v>
      </c>
      <c r="D35" s="14">
        <f>((B7/12)*B8*D9/(B10/100)+B12)*(1+B11/100)</f>
        <v>0</v>
      </c>
      <c r="E35" s="8">
        <f>((B7/12)*B8*D9/(B10/100)+B12)*(1+B11/100)-((B7/12)*B8*C9/(B10/100)+B12)*(1+B11/100)</f>
        <v>0</v>
      </c>
    </row>
    <row r="36" spans="1:5">
      <c r="A36" s="4" t="s">
        <v>112</v>
      </c>
      <c r="B36" s="6">
        <f>((B7/12)*B8*B9/(D10/100)+B12)*(1+B11/100)</f>
        <v>0</v>
      </c>
      <c r="C36" s="7">
        <f>((B7/12)*B8*B9/(B10/100)+B12)*(1+B11/100)</f>
        <v>0</v>
      </c>
      <c r="D36" s="14">
        <f>((B7/12)*B8*B9/(C10/100)+B12)*(1+B11/100)</f>
        <v>0</v>
      </c>
      <c r="E36" s="8">
        <f>((B7/12)*B8*B9/(C10/100)+B12)*(1+B11/100)-((B7/12)*B8*B9/(D10/100)+B12)*(1+B11/100)</f>
        <v>0</v>
      </c>
    </row>
    <row r="37" spans="1:5">
      <c r="A37" s="4" t="s">
        <v>113</v>
      </c>
      <c r="B37" s="6">
        <f>((B7/12)*B8*B9/(B10/100)+B12)*(1+C11/100)</f>
        <v>0</v>
      </c>
      <c r="C37" s="7">
        <f>((B7/12)*B8*B9/(B10/100)+B12)*(1+B11/100)</f>
        <v>0</v>
      </c>
      <c r="D37" s="14">
        <f>((B7/12)*B8*B9/(B10/100)+B12)*(1+D11/100)</f>
        <v>0</v>
      </c>
      <c r="E37" s="8">
        <f>((B7/12)*B8*B9/(B10/100)+B12)*(1+D11/100)-((B7/12)*B8*B9/(B10/100)+B12)*(1+C11/100)</f>
        <v>0</v>
      </c>
    </row>
    <row r="38" spans="1:5">
      <c r="A38" s="5" t="s">
        <v>114</v>
      </c>
      <c r="B38" s="5"/>
      <c r="C38" s="5"/>
      <c r="D38" s="5"/>
      <c r="E38" s="5"/>
    </row>
    <row r="40" spans="1:5">
      <c r="A40" s="4" t="s">
        <v>115</v>
      </c>
    </row>
    <row r="41" spans="1:5">
      <c r="A41" s="4" t="s">
        <v>116</v>
      </c>
    </row>
    <row r="42" spans="1:5">
      <c r="A42" s="4" t="s">
        <v>117</v>
      </c>
    </row>
    <row r="43" spans="1:5">
      <c r="A43" s="4" t="s">
        <v>118</v>
      </c>
    </row>
    <row r="44" spans="1:5">
      <c r="A44" s="4" t="s">
        <v>119</v>
      </c>
    </row>
    <row r="46" spans="1:5">
      <c r="A46" s="2" t="s">
        <v>120</v>
      </c>
    </row>
    <row r="47" spans="1:5">
      <c r="A47" s="4" t="s">
        <v>121</v>
      </c>
    </row>
    <row r="48" spans="1:5">
      <c r="A48" s="4" t="s">
        <v>122</v>
      </c>
    </row>
    <row r="49" spans="1:1">
      <c r="A49" s="4" t="s">
        <v>123</v>
      </c>
    </row>
  </sheetData>
  <sheetProtection password="E1C2" sheet="1" objects="1" scenarios="1"/>
  <mergeCells count="6">
    <mergeCell ref="A1:F1"/>
    <mergeCell ref="A4:E4"/>
    <mergeCell ref="A13:E13"/>
    <mergeCell ref="A19:E19"/>
    <mergeCell ref="A28:E28"/>
    <mergeCell ref="A38:E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cols>
    <col min="1" max="1" width="25.7109375" customWidth="1"/>
    <col min="2" max="4" width="15.7109375" customWidth="1"/>
    <col min="5" max="5" width="35.7109375" customWidth="1"/>
  </cols>
  <sheetData>
    <row r="1" spans="1:6">
      <c r="A1" s="1" t="s">
        <v>124</v>
      </c>
      <c r="B1" s="1"/>
      <c r="C1" s="1"/>
      <c r="D1" s="1"/>
      <c r="E1" s="1"/>
      <c r="F1" s="1"/>
    </row>
    <row r="3" spans="1:6">
      <c r="A3" s="4" t="s">
        <v>125</v>
      </c>
    </row>
    <row r="4" spans="1:6">
      <c r="A4" s="5" t="s">
        <v>126</v>
      </c>
      <c r="B4" s="5"/>
      <c r="C4" s="5"/>
      <c r="D4" s="5"/>
      <c r="E4" s="5"/>
    </row>
    <row r="6" spans="1:6">
      <c r="A6" s="2" t="s">
        <v>127</v>
      </c>
      <c r="B6" s="8">
        <v>1016470.588235294</v>
      </c>
    </row>
    <row r="7" spans="1:6">
      <c r="A7" s="2" t="s">
        <v>128</v>
      </c>
      <c r="B7" s="8">
        <v>920000</v>
      </c>
    </row>
    <row r="8" spans="1:6">
      <c r="A8" s="2" t="s">
        <v>129</v>
      </c>
      <c r="B8" s="8">
        <f>B6-B7</f>
        <v>0</v>
      </c>
    </row>
    <row r="9" spans="1:6">
      <c r="A9" s="2" t="s">
        <v>130</v>
      </c>
      <c r="B9" s="2">
        <f>IF(B8&lt;0,"BUILD","BUY")</f>
        <v>0</v>
      </c>
    </row>
    <row r="10" spans="1:6">
      <c r="A10" s="5" t="s">
        <v>131</v>
      </c>
      <c r="B10" s="5"/>
      <c r="C10" s="5"/>
      <c r="D10" s="5"/>
      <c r="E10" s="5"/>
    </row>
    <row r="12" spans="1:6">
      <c r="A12" s="4" t="s">
        <v>132</v>
      </c>
    </row>
    <row r="14" spans="1:6">
      <c r="A14" s="2" t="s">
        <v>75</v>
      </c>
      <c r="B14" s="2" t="s">
        <v>76</v>
      </c>
      <c r="C14" s="2" t="s">
        <v>133</v>
      </c>
      <c r="D14" s="2" t="s">
        <v>134</v>
      </c>
      <c r="E14" s="2" t="s">
        <v>135</v>
      </c>
    </row>
    <row r="15" spans="1:6">
      <c r="A15" s="4" t="s">
        <v>1</v>
      </c>
      <c r="B15" s="10">
        <v>15</v>
      </c>
      <c r="C15" s="15">
        <v>13.57638888888889</v>
      </c>
      <c r="D15" s="16">
        <f>C15-B15</f>
        <v>0</v>
      </c>
      <c r="E15" s="4">
        <f>IF(C15&gt;B15,"Can afford "&amp; ROUND((C15-B15),1) &amp;" more months","Need to reduce by "&amp; ROUND((B15-C15),1) &amp;" months")</f>
        <v>0</v>
      </c>
    </row>
    <row r="16" spans="1:6">
      <c r="A16" s="4" t="s">
        <v>3</v>
      </c>
      <c r="B16" s="12">
        <v>180000</v>
      </c>
      <c r="C16" s="17">
        <v>162916.6666666667</v>
      </c>
      <c r="D16" s="7">
        <f>C16-B16</f>
        <v>0</v>
      </c>
      <c r="E16" s="4">
        <f>IF(C16&gt;B16,"Can afford $"&amp; ROUND((C16-B16),0) &amp;" more per FTE","Need to reduce by $"&amp; ROUND((B16-C16),0) &amp;" per FTE")</f>
        <v>0</v>
      </c>
    </row>
    <row r="17" spans="1:5">
      <c r="A17" s="4" t="s">
        <v>80</v>
      </c>
      <c r="B17" s="10">
        <v>3</v>
      </c>
      <c r="C17" s="15">
        <v>2.715277777777777</v>
      </c>
      <c r="D17" s="16">
        <f>C17-B17</f>
        <v>0</v>
      </c>
      <c r="E17" s="4">
        <f>IF(C17&gt;B17,"Can afford "&amp; ROUND((C17-B17),1) &amp;" more FTEs","Need to reduce by "&amp; ROUND((B17-C17),1) &amp;" FTEs")</f>
        <v>0</v>
      </c>
    </row>
    <row r="18" spans="1:5">
      <c r="A18" s="4" t="s">
        <v>81</v>
      </c>
      <c r="B18" s="10">
        <v>85</v>
      </c>
      <c r="C18" s="15">
        <v>93.91304347826087</v>
      </c>
      <c r="D18" s="16">
        <f>C18-B18</f>
        <v>0</v>
      </c>
      <c r="E18" s="4">
        <f>IF(C18&gt;B18,"Need "&amp; ROUND((C18-B18),1) &amp;"% higher confidence","Can tolerate "&amp; ROUND((B18-C18),1) &amp;"% lower confidence")</f>
        <v>0</v>
      </c>
    </row>
    <row r="19" spans="1:5">
      <c r="A19" s="5" t="s">
        <v>136</v>
      </c>
      <c r="B19" s="5"/>
      <c r="C19" s="5"/>
      <c r="D19" s="5"/>
      <c r="E19" s="5"/>
    </row>
    <row r="21" spans="1:5">
      <c r="A21" s="4" t="s">
        <v>137</v>
      </c>
    </row>
    <row r="23" spans="1:5">
      <c r="A23" s="2" t="s">
        <v>138</v>
      </c>
      <c r="B23" s="2" t="s">
        <v>139</v>
      </c>
      <c r="C23" s="2" t="s">
        <v>140</v>
      </c>
      <c r="D23" s="2" t="s">
        <v>141</v>
      </c>
      <c r="E23" s="2" t="s">
        <v>68</v>
      </c>
    </row>
    <row r="24" spans="1:5">
      <c r="A24" s="4" t="s">
        <v>128</v>
      </c>
      <c r="B24" s="12">
        <v>920000</v>
      </c>
      <c r="C24" s="7">
        <v>1016470.588235294</v>
      </c>
      <c r="D24" s="7">
        <f>C24-B24</f>
        <v>0</v>
      </c>
      <c r="E24" s="2">
        <f>IF(C24&lt;B24,"BUILD","BUY")</f>
        <v>0</v>
      </c>
    </row>
    <row r="25" spans="1:5">
      <c r="A25" s="4" t="s">
        <v>142</v>
      </c>
      <c r="B25" s="7">
        <v>690000</v>
      </c>
      <c r="C25" s="7">
        <v>1016470.588235294</v>
      </c>
      <c r="D25" s="7">
        <f>C25-B25</f>
        <v>0</v>
      </c>
      <c r="E25" s="2">
        <f>IF(C25&lt;B25,"BUILD","BUY")</f>
        <v>0</v>
      </c>
    </row>
    <row r="26" spans="1:5">
      <c r="A26" s="4" t="s">
        <v>143</v>
      </c>
      <c r="B26" s="7">
        <v>1150000</v>
      </c>
      <c r="C26" s="7">
        <v>1016470.588235294</v>
      </c>
      <c r="D26" s="7">
        <f>C26-B26</f>
        <v>0</v>
      </c>
      <c r="E26" s="2">
        <f>IF(C26&lt;B26,"BUILD","BUY")</f>
        <v>0</v>
      </c>
    </row>
    <row r="27" spans="1:5">
      <c r="A27" s="2" t="s">
        <v>144</v>
      </c>
      <c r="B27" s="17">
        <v>1016470.588235294</v>
      </c>
      <c r="C27" s="7">
        <v>1016470.588235294</v>
      </c>
      <c r="D27" s="8">
        <v>0</v>
      </c>
      <c r="E27" s="2" t="s">
        <v>145</v>
      </c>
    </row>
    <row r="28" spans="1:5">
      <c r="A28" s="5" t="s">
        <v>146</v>
      </c>
      <c r="B28" s="5"/>
      <c r="C28" s="5"/>
      <c r="D28" s="5"/>
      <c r="E28" s="5"/>
    </row>
    <row r="30" spans="1:5">
      <c r="A30" s="4" t="s">
        <v>147</v>
      </c>
    </row>
    <row r="32" spans="1:5">
      <c r="A32" s="2" t="s">
        <v>148</v>
      </c>
      <c r="B32" s="7">
        <v>794117.6470588235</v>
      </c>
    </row>
    <row r="33" spans="1:5">
      <c r="A33" s="2" t="s">
        <v>149</v>
      </c>
      <c r="B33" s="15">
        <v>15.85185185185185</v>
      </c>
      <c r="C33" s="4" t="s">
        <v>150</v>
      </c>
    </row>
    <row r="34" spans="1:5">
      <c r="A34" s="2" t="s">
        <v>151</v>
      </c>
      <c r="B34" s="15">
        <v>28</v>
      </c>
      <c r="C34" s="4" t="s">
        <v>152</v>
      </c>
    </row>
    <row r="35" spans="1:5">
      <c r="A35" s="2" t="s">
        <v>153</v>
      </c>
      <c r="B35" s="15">
        <v>-12.14814814814815</v>
      </c>
      <c r="C35" s="4">
        <f>IF(-12.148148148148149&gt;0,"Can absorb "&amp;ROUND(-12.148148148148149,1)&amp;"% more risk","Over risk limit by "&amp;ROUND(ABS(-12.148148148148149),1)&amp;"%")</f>
        <v>0</v>
      </c>
    </row>
    <row r="36" spans="1:5">
      <c r="A36" s="5" t="s">
        <v>154</v>
      </c>
      <c r="B36" s="5"/>
      <c r="C36" s="5"/>
      <c r="D36" s="5"/>
      <c r="E36" s="5"/>
    </row>
    <row r="38" spans="1:5">
      <c r="A38" s="4" t="s">
        <v>155</v>
      </c>
    </row>
    <row r="39" spans="1:5">
      <c r="A39" s="4" t="s">
        <v>156</v>
      </c>
    </row>
    <row r="40" spans="1:5">
      <c r="A40" s="4" t="s">
        <v>157</v>
      </c>
    </row>
    <row r="41" spans="1:5">
      <c r="A41" s="4" t="s">
        <v>158</v>
      </c>
    </row>
    <row r="42" spans="1:5">
      <c r="A42" s="4" t="s">
        <v>159</v>
      </c>
    </row>
    <row r="44" spans="1:5">
      <c r="A44" s="2" t="s">
        <v>160</v>
      </c>
    </row>
    <row r="45" spans="1:5">
      <c r="A45" s="4" t="s">
        <v>161</v>
      </c>
    </row>
    <row r="46" spans="1:5">
      <c r="A46" s="4" t="s">
        <v>162</v>
      </c>
    </row>
    <row r="47" spans="1:5">
      <c r="A47" s="4" t="s">
        <v>163</v>
      </c>
    </row>
    <row r="48" spans="1:5">
      <c r="A48" s="4" t="s">
        <v>164</v>
      </c>
    </row>
  </sheetData>
  <sheetProtection password="F099" sheet="1" objects="1" scenarios="1"/>
  <mergeCells count="6">
    <mergeCell ref="A1:F1"/>
    <mergeCell ref="A4:E4"/>
    <mergeCell ref="A10:E10"/>
    <mergeCell ref="A19:E19"/>
    <mergeCell ref="A28:E28"/>
    <mergeCell ref="A36:E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Parameters</vt:lpstr>
      <vt:lpstr>Cost Timeline</vt:lpstr>
      <vt:lpstr>Sensitivity Analysis</vt:lpstr>
      <vt:lpstr>Breakeven Analysis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2025-08-14T17:13:30Z</dcterms:created>
  <dcterms:modified xsi:type="dcterms:W3CDTF">2025-08-14T17:13:30Z</dcterms:modified>
</cp:coreProperties>
</file>